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202300"/>
  <mc:AlternateContent xmlns:mc="http://schemas.openxmlformats.org/markup-compatibility/2006">
    <mc:Choice Requires="x15">
      <x15ac:absPath xmlns:x15ac="http://schemas.microsoft.com/office/spreadsheetml/2010/11/ac" url="/Users/neilbraganza/Library/CloudStorage/Dropbox/CUPE/remediation pay 2024/"/>
    </mc:Choice>
  </mc:AlternateContent>
  <xr:revisionPtr revIDLastSave="0" documentId="13_ncr:1_{67CD0414-8B3E-6C41-8153-4B01FF2F8AE0}" xr6:coauthVersionLast="47" xr6:coauthVersionMax="47" xr10:uidLastSave="{00000000-0000-0000-0000-000000000000}"/>
  <bookViews>
    <workbookView xWindow="1580" yWindow="780" windowWidth="31460" windowHeight="21360" xr2:uid="{04B817B3-4A7B-C347-8FF5-6B32DA2DF2CB}"/>
  </bookViews>
  <sheets>
    <sheet name="paycheques" sheetId="1" r:id="rId1"/>
    <sheet name="retro pa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1" i="1" l="1"/>
  <c r="K31" i="1"/>
  <c r="P30" i="1"/>
  <c r="P29" i="1"/>
  <c r="P28" i="1"/>
  <c r="P27" i="1"/>
  <c r="P26" i="1"/>
  <c r="P25" i="1"/>
  <c r="P24" i="1"/>
  <c r="P23" i="1"/>
  <c r="P22" i="1"/>
  <c r="P21" i="1"/>
  <c r="P20" i="1"/>
  <c r="P19" i="1"/>
  <c r="P18" i="1"/>
  <c r="P17" i="1"/>
  <c r="P16" i="1"/>
  <c r="P15" i="1"/>
  <c r="P14" i="1"/>
  <c r="P13" i="1"/>
  <c r="T78" i="2"/>
  <c r="T77" i="2"/>
  <c r="T76" i="2"/>
  <c r="T75" i="2"/>
  <c r="T74" i="2"/>
  <c r="T73" i="2"/>
  <c r="T72" i="2"/>
  <c r="T71" i="2"/>
  <c r="T70" i="2"/>
  <c r="T69" i="2"/>
  <c r="T68" i="2"/>
  <c r="T67" i="2"/>
  <c r="T66" i="2"/>
  <c r="T65" i="2"/>
  <c r="T64" i="2"/>
  <c r="T63" i="2"/>
  <c r="T62" i="2"/>
  <c r="T61" i="2"/>
  <c r="Q30" i="1"/>
  <c r="Q29" i="1"/>
  <c r="Q28" i="1"/>
  <c r="Q27" i="1"/>
  <c r="Q26" i="1"/>
  <c r="Q25" i="1"/>
  <c r="Q24" i="1"/>
  <c r="Q23" i="1"/>
  <c r="Q22" i="1"/>
  <c r="Q21" i="1"/>
  <c r="Q20" i="1"/>
  <c r="Q19" i="1"/>
  <c r="Q18" i="1"/>
  <c r="Q17" i="1"/>
  <c r="Q16" i="1"/>
  <c r="Q15" i="1"/>
  <c r="Q14" i="1"/>
  <c r="Q13" i="1"/>
  <c r="K30" i="1"/>
  <c r="K29" i="1"/>
  <c r="K28" i="1"/>
  <c r="K27" i="1"/>
  <c r="K26" i="1"/>
  <c r="K25" i="1"/>
  <c r="K24" i="1"/>
  <c r="K23" i="1"/>
  <c r="K22" i="1"/>
  <c r="K21" i="1"/>
  <c r="K20" i="1"/>
  <c r="K19" i="1"/>
  <c r="K18" i="1"/>
  <c r="K17" i="1"/>
  <c r="K16" i="1"/>
  <c r="K15" i="1"/>
  <c r="K14" i="1"/>
  <c r="K13" i="1"/>
  <c r="Q65" i="2"/>
  <c r="I78" i="2"/>
  <c r="M78" i="2" s="1"/>
  <c r="Q78" i="2" s="1"/>
  <c r="E77" i="2"/>
  <c r="I77" i="2" s="1"/>
  <c r="M77" i="2" s="1"/>
  <c r="Q77" i="2" s="1"/>
  <c r="E76" i="2"/>
  <c r="I76" i="2" s="1"/>
  <c r="M76" i="2" s="1"/>
  <c r="Q76" i="2" s="1"/>
  <c r="E75" i="2"/>
  <c r="I75" i="2" s="1"/>
  <c r="M75" i="2" s="1"/>
  <c r="Q75" i="2" s="1"/>
  <c r="E74" i="2"/>
  <c r="I74" i="2" s="1"/>
  <c r="M74" i="2" s="1"/>
  <c r="Q74" i="2" s="1"/>
  <c r="E73" i="2"/>
  <c r="I73" i="2" s="1"/>
  <c r="M73" i="2" s="1"/>
  <c r="Q73" i="2" s="1"/>
  <c r="E72" i="2"/>
  <c r="E71" i="2"/>
  <c r="I71" i="2" s="1"/>
  <c r="M71" i="2" s="1"/>
  <c r="Q71" i="2" s="1"/>
  <c r="E70" i="2"/>
  <c r="I70" i="2" s="1"/>
  <c r="M70" i="2" s="1"/>
  <c r="Q70" i="2" s="1"/>
  <c r="E69" i="2"/>
  <c r="I69" i="2" s="1"/>
  <c r="M69" i="2" s="1"/>
  <c r="Q69" i="2" s="1"/>
  <c r="E68" i="2"/>
  <c r="I68" i="2" s="1"/>
  <c r="M68" i="2" s="1"/>
  <c r="Q68" i="2" s="1"/>
  <c r="E67" i="2"/>
  <c r="I67" i="2" s="1"/>
  <c r="M67" i="2" s="1"/>
  <c r="Q67" i="2" s="1"/>
  <c r="E66" i="2"/>
  <c r="I66" i="2" s="1"/>
  <c r="M66" i="2" s="1"/>
  <c r="Q66" i="2" s="1"/>
  <c r="E65" i="2"/>
  <c r="I65" i="2" s="1"/>
  <c r="M65" i="2" s="1"/>
  <c r="E64" i="2"/>
  <c r="I64" i="2" s="1"/>
  <c r="M64" i="2" s="1"/>
  <c r="Q64" i="2" s="1"/>
  <c r="E63" i="2"/>
  <c r="E61" i="2"/>
  <c r="I61" i="2" s="1"/>
  <c r="M61" i="2" s="1"/>
  <c r="Q61" i="2" s="1"/>
  <c r="E82" i="2"/>
  <c r="E83" i="2" s="1"/>
  <c r="E84" i="2" s="1"/>
  <c r="E85" i="2" s="1"/>
  <c r="F88" i="2"/>
  <c r="H77" i="2"/>
  <c r="H76" i="2"/>
  <c r="H75" i="2"/>
  <c r="H74" i="2"/>
  <c r="L74" i="2" s="1"/>
  <c r="H73" i="2"/>
  <c r="H72" i="2"/>
  <c r="L72" i="2" s="1"/>
  <c r="H71" i="2"/>
  <c r="H70" i="2"/>
  <c r="L70" i="2" s="1"/>
  <c r="H69" i="2"/>
  <c r="L69" i="2" s="1"/>
  <c r="H68" i="2"/>
  <c r="L68" i="2" s="1"/>
  <c r="V68" i="2" s="1"/>
  <c r="H67" i="2"/>
  <c r="H66" i="2"/>
  <c r="L66" i="2" s="1"/>
  <c r="V66" i="2" s="1"/>
  <c r="H65" i="2"/>
  <c r="L65" i="2" s="1"/>
  <c r="H64" i="2"/>
  <c r="L64" i="2" s="1"/>
  <c r="P64" i="2" s="1"/>
  <c r="H61" i="2"/>
  <c r="H63" i="2"/>
  <c r="L63" i="2" s="1"/>
  <c r="L78" i="2"/>
  <c r="P78" i="2" s="1"/>
  <c r="F81" i="2"/>
  <c r="N27" i="1"/>
  <c r="M26" i="1"/>
  <c r="O25" i="1"/>
  <c r="N19" i="1"/>
  <c r="N18" i="1"/>
  <c r="O17" i="1"/>
  <c r="M15" i="1"/>
  <c r="D62" i="2"/>
  <c r="E62" i="2" s="1"/>
  <c r="I62" i="2" s="1"/>
  <c r="M62" i="2" s="1"/>
  <c r="Q62" i="2" s="1"/>
  <c r="M14" i="1"/>
  <c r="O30" i="1"/>
  <c r="O29" i="1"/>
  <c r="O28" i="1"/>
  <c r="O27" i="1"/>
  <c r="O26" i="1"/>
  <c r="O22" i="1"/>
  <c r="O21" i="1"/>
  <c r="O20" i="1"/>
  <c r="O19" i="1"/>
  <c r="O18" i="1"/>
  <c r="O14" i="1"/>
  <c r="O13" i="1"/>
  <c r="N30" i="1"/>
  <c r="N29" i="1"/>
  <c r="N28" i="1"/>
  <c r="N22" i="1"/>
  <c r="N21" i="1"/>
  <c r="N20" i="1"/>
  <c r="N14" i="1"/>
  <c r="N13" i="1"/>
  <c r="M30" i="1"/>
  <c r="M29" i="1"/>
  <c r="M28" i="1"/>
  <c r="M22" i="1"/>
  <c r="M21" i="1"/>
  <c r="M20" i="1"/>
  <c r="M13" i="1"/>
  <c r="L30" i="1"/>
  <c r="L29" i="1"/>
  <c r="L28" i="1"/>
  <c r="L27" i="1"/>
  <c r="L26" i="1"/>
  <c r="L24" i="1"/>
  <c r="L23" i="1"/>
  <c r="L22" i="1"/>
  <c r="L21" i="1"/>
  <c r="L20" i="1"/>
  <c r="L19" i="1"/>
  <c r="L18" i="1"/>
  <c r="L17" i="1"/>
  <c r="L16" i="1"/>
  <c r="L15" i="1"/>
  <c r="L14" i="1"/>
  <c r="L13" i="1"/>
  <c r="L31" i="1" l="1"/>
  <c r="F43" i="1" s="1"/>
  <c r="P31" i="1"/>
  <c r="Q31" i="1"/>
  <c r="R68" i="2"/>
  <c r="R66" i="2"/>
  <c r="N78" i="2"/>
  <c r="O78" i="2" s="1"/>
  <c r="J70" i="2"/>
  <c r="K70" i="2" s="1"/>
  <c r="F67" i="2"/>
  <c r="G67" i="2" s="1"/>
  <c r="D36" i="2" s="1"/>
  <c r="F75" i="2"/>
  <c r="G75" i="2" s="1"/>
  <c r="L67" i="2"/>
  <c r="P67" i="2" s="1"/>
  <c r="N67" i="2" s="1"/>
  <c r="O67" i="2" s="1"/>
  <c r="N64" i="2"/>
  <c r="O64" i="2" s="1"/>
  <c r="F63" i="2"/>
  <c r="G63" i="2" s="1"/>
  <c r="F72" i="2"/>
  <c r="G72" i="2" s="1"/>
  <c r="F70" i="2"/>
  <c r="G70" i="2" s="1"/>
  <c r="J74" i="2"/>
  <c r="K74" i="2" s="1"/>
  <c r="I72" i="2"/>
  <c r="F64" i="2"/>
  <c r="G64" i="2" s="1"/>
  <c r="J64" i="2"/>
  <c r="K64" i="2" s="1"/>
  <c r="J65" i="2"/>
  <c r="K65" i="2" s="1"/>
  <c r="J66" i="2"/>
  <c r="K66" i="2" s="1"/>
  <c r="L75" i="2"/>
  <c r="P75" i="2" s="1"/>
  <c r="N75" i="2" s="1"/>
  <c r="O75" i="2" s="1"/>
  <c r="F76" i="2"/>
  <c r="G76" i="2" s="1"/>
  <c r="F66" i="2"/>
  <c r="G66" i="2" s="1"/>
  <c r="F74" i="2"/>
  <c r="G74" i="2" s="1"/>
  <c r="J68" i="2"/>
  <c r="K68" i="2" s="1"/>
  <c r="F73" i="2"/>
  <c r="G73" i="2" s="1"/>
  <c r="F69" i="2"/>
  <c r="G69" i="2" s="1"/>
  <c r="F77" i="2"/>
  <c r="G77" i="2" s="1"/>
  <c r="J69" i="2"/>
  <c r="K69" i="2" s="1"/>
  <c r="F65" i="2"/>
  <c r="G65" i="2" s="1"/>
  <c r="I63" i="2"/>
  <c r="J78" i="2"/>
  <c r="K78" i="2" s="1"/>
  <c r="L71" i="2"/>
  <c r="J71" i="2" s="1"/>
  <c r="K71" i="2" s="1"/>
  <c r="F71" i="2"/>
  <c r="G71" i="2" s="1"/>
  <c r="L76" i="2"/>
  <c r="J76" i="2" s="1"/>
  <c r="K76" i="2" s="1"/>
  <c r="H62" i="2"/>
  <c r="L77" i="2"/>
  <c r="J77" i="2" s="1"/>
  <c r="K77" i="2" s="1"/>
  <c r="F68" i="2"/>
  <c r="G68" i="2" s="1"/>
  <c r="F61" i="2"/>
  <c r="G61" i="2" s="1"/>
  <c r="L61" i="2"/>
  <c r="J61" i="2" s="1"/>
  <c r="K61" i="2" s="1"/>
  <c r="V69" i="2"/>
  <c r="R69" i="2" s="1"/>
  <c r="V78" i="2"/>
  <c r="R78" i="2" s="1"/>
  <c r="P63" i="2"/>
  <c r="P70" i="2"/>
  <c r="N70" i="2" s="1"/>
  <c r="O70" i="2" s="1"/>
  <c r="V70" i="2"/>
  <c r="R70" i="2" s="1"/>
  <c r="L73" i="2"/>
  <c r="P69" i="2"/>
  <c r="N69" i="2" s="1"/>
  <c r="O69" i="2" s="1"/>
  <c r="P68" i="2"/>
  <c r="N68" i="2" s="1"/>
  <c r="O68" i="2" s="1"/>
  <c r="V63" i="2"/>
  <c r="P65" i="2"/>
  <c r="N65" i="2" s="1"/>
  <c r="O65" i="2" s="1"/>
  <c r="V64" i="2"/>
  <c r="R64" i="2" s="1"/>
  <c r="V72" i="2"/>
  <c r="P74" i="2"/>
  <c r="N74" i="2" s="1"/>
  <c r="O74" i="2" s="1"/>
  <c r="V65" i="2"/>
  <c r="R65" i="2" s="1"/>
  <c r="P72" i="2"/>
  <c r="P66" i="2"/>
  <c r="N66" i="2" s="1"/>
  <c r="O66" i="2" s="1"/>
  <c r="V74" i="2"/>
  <c r="R74" i="2" s="1"/>
  <c r="F82" i="2"/>
  <c r="F83" i="2"/>
  <c r="M23" i="1"/>
  <c r="M16" i="1"/>
  <c r="M17" i="1"/>
  <c r="N15" i="1"/>
  <c r="N31" i="1" s="1"/>
  <c r="N23" i="1"/>
  <c r="M19" i="1"/>
  <c r="M27" i="1"/>
  <c r="N17" i="1"/>
  <c r="N25" i="1"/>
  <c r="O15" i="1"/>
  <c r="O31" i="1" s="1"/>
  <c r="O23" i="1"/>
  <c r="M18" i="1"/>
  <c r="N24" i="1"/>
  <c r="N26" i="1"/>
  <c r="O16" i="1"/>
  <c r="O24" i="1"/>
  <c r="L25" i="1"/>
  <c r="M24" i="1"/>
  <c r="M25" i="1"/>
  <c r="N16" i="1"/>
  <c r="J31" i="1"/>
  <c r="E36" i="1" l="1"/>
  <c r="M43" i="1"/>
  <c r="M63" i="1"/>
  <c r="F63" i="1"/>
  <c r="M49" i="1"/>
  <c r="F49" i="1"/>
  <c r="M44" i="1"/>
  <c r="F44" i="1"/>
  <c r="S74" i="2"/>
  <c r="U74" i="2"/>
  <c r="S69" i="2"/>
  <c r="U69" i="2"/>
  <c r="V67" i="2"/>
  <c r="R67" i="2" s="1"/>
  <c r="S78" i="2"/>
  <c r="U78" i="2"/>
  <c r="S65" i="2"/>
  <c r="U65" i="2"/>
  <c r="S70" i="2"/>
  <c r="U70" i="2"/>
  <c r="S66" i="2"/>
  <c r="U66" i="2"/>
  <c r="S64" i="2"/>
  <c r="U64" i="2"/>
  <c r="S68" i="2"/>
  <c r="U68" i="2"/>
  <c r="J67" i="2"/>
  <c r="K67" i="2" s="1"/>
  <c r="V76" i="2"/>
  <c r="R76" i="2" s="1"/>
  <c r="J72" i="2"/>
  <c r="K72" i="2" s="1"/>
  <c r="M72" i="2"/>
  <c r="J63" i="2"/>
  <c r="K63" i="2" s="1"/>
  <c r="M63" i="2"/>
  <c r="P73" i="2"/>
  <c r="N73" i="2" s="1"/>
  <c r="O73" i="2" s="1"/>
  <c r="J73" i="2"/>
  <c r="K73" i="2" s="1"/>
  <c r="P71" i="2"/>
  <c r="N71" i="2" s="1"/>
  <c r="O71" i="2" s="1"/>
  <c r="V71" i="2"/>
  <c r="R71" i="2" s="1"/>
  <c r="V75" i="2"/>
  <c r="R75" i="2" s="1"/>
  <c r="J75" i="2"/>
  <c r="K75" i="2" s="1"/>
  <c r="P77" i="2"/>
  <c r="N77" i="2" s="1"/>
  <c r="O77" i="2" s="1"/>
  <c r="L62" i="2"/>
  <c r="J62" i="2" s="1"/>
  <c r="K62" i="2" s="1"/>
  <c r="F62" i="2"/>
  <c r="G62" i="2" s="1"/>
  <c r="P76" i="2"/>
  <c r="N76" i="2" s="1"/>
  <c r="O76" i="2" s="1"/>
  <c r="V77" i="2"/>
  <c r="R77" i="2" s="1"/>
  <c r="V61" i="2"/>
  <c r="R61" i="2" s="1"/>
  <c r="P61" i="2"/>
  <c r="N61" i="2" s="1"/>
  <c r="O61" i="2" s="1"/>
  <c r="V73" i="2"/>
  <c r="R73" i="2" s="1"/>
  <c r="E36" i="2" l="1"/>
  <c r="S73" i="2"/>
  <c r="U73" i="2"/>
  <c r="S75" i="2"/>
  <c r="U75" i="2"/>
  <c r="S67" i="2"/>
  <c r="U67" i="2"/>
  <c r="S61" i="2"/>
  <c r="U61" i="2"/>
  <c r="S71" i="2"/>
  <c r="U71" i="2"/>
  <c r="S76" i="2"/>
  <c r="U76" i="2"/>
  <c r="S77" i="2"/>
  <c r="U77" i="2"/>
  <c r="N63" i="2"/>
  <c r="O63" i="2" s="1"/>
  <c r="Q63" i="2"/>
  <c r="R63" i="2" s="1"/>
  <c r="N72" i="2"/>
  <c r="O72" i="2" s="1"/>
  <c r="Q72" i="2"/>
  <c r="R72" i="2" s="1"/>
  <c r="M46" i="1"/>
  <c r="P62" i="2"/>
  <c r="N62" i="2" s="1"/>
  <c r="O62" i="2" s="1"/>
  <c r="V62" i="2"/>
  <c r="R62" i="2" s="1"/>
  <c r="F48" i="1"/>
  <c r="S72" i="2" l="1"/>
  <c r="U72" i="2"/>
  <c r="S63" i="2"/>
  <c r="U63" i="2"/>
  <c r="S62" i="2"/>
  <c r="U62" i="2"/>
  <c r="F36" i="2"/>
  <c r="D38" i="2" s="1"/>
  <c r="M50" i="1" s="1"/>
  <c r="F45" i="1"/>
  <c r="E37" i="1"/>
  <c r="M48" i="1"/>
  <c r="F50" i="1"/>
  <c r="F55" i="1" s="1"/>
  <c r="M51" i="1" l="1"/>
  <c r="M57" i="1" s="1"/>
  <c r="F69" i="1" s="1"/>
  <c r="M6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J12" authorId="0" shapeId="0" xr:uid="{2F7E3EF3-CE62-6746-8CF9-CBAD7B36B367}">
      <text>
        <r>
          <rPr>
            <sz val="10"/>
            <color rgb="FF000000"/>
            <rFont val="Tahoma"/>
            <family val="2"/>
          </rPr>
          <t>New Collective Agreermernt. Effective Sept 1, 2023. Incorporates cumulative increases we recently won for the Bill 124 years, plus the 3.1% increase for 2023-24.</t>
        </r>
      </text>
    </comment>
    <comment ref="C19" authorId="0" shapeId="0" xr:uid="{F4615AAB-2C82-BF43-B9CD-49B6FD28F14F}">
      <text>
        <r>
          <rPr>
            <sz val="10"/>
            <color rgb="FF000000"/>
            <rFont val="Aptos Narrow"/>
          </rPr>
          <t xml:space="preserve">A “full TAship” is </t>
        </r>
        <r>
          <rPr>
            <b/>
            <sz val="10"/>
            <color rgb="FF000000"/>
            <rFont val="Aptos Narrow"/>
          </rPr>
          <t>two</t>
        </r>
        <r>
          <rPr>
            <sz val="10"/>
            <color rgb="FF000000"/>
            <rFont val="Aptos Narrow"/>
          </rPr>
          <t xml:space="preserve"> tutor 1 positions (e.g., 2 hours per week in a tutorial in a FW course). A single tutor 1 position “normally consists of one (1) one-hour tutorial group per week in the fall/winter session, or the pro- rated equivalent in other sessions” (U2 CA p.28). </t>
        </r>
      </text>
    </comment>
    <comment ref="F54" authorId="0" shapeId="0" xr:uid="{36B0B8EC-6C71-CE4E-AD47-13640718CF9E}">
      <text>
        <r>
          <rPr>
            <sz val="10"/>
            <color rgb="FF000000"/>
            <rFont val="Aptos Narrow"/>
          </rPr>
          <t>Your earnings are found under the "Hours and Earnings" section of your paystub. Do not include your vacation pay.</t>
        </r>
      </text>
    </comment>
    <comment ref="M54" authorId="0" shapeId="0" xr:uid="{AC597ADC-952B-2741-80BB-E8C6D5C47C0D}">
      <text>
        <r>
          <rPr>
            <sz val="10"/>
            <color rgb="FF000000"/>
            <rFont val="Tahoma"/>
            <family val="2"/>
          </rPr>
          <t>See "Retro-reg" and "Bill 124 retro" earnings under the "Hours and Earnings" section of your paystub. Do not include your vacation pay.</t>
        </r>
      </text>
    </comment>
    <comment ref="M55" authorId="0" shapeId="0" xr:uid="{55F4889E-1C32-124D-A213-86CD0EF4B26A}">
      <text>
        <r>
          <rPr>
            <sz val="10"/>
            <color rgb="FF000000"/>
            <rFont val="Tahoma"/>
            <family val="2"/>
          </rPr>
          <t>Your earnings are found under the "Hours and Earnings" section of your paystub. Do not include your vacation pay.</t>
        </r>
      </text>
    </comment>
    <comment ref="M56" authorId="0" shapeId="0" xr:uid="{897EDE82-BA44-B448-A5F5-96447509AE9E}">
      <text>
        <r>
          <rPr>
            <sz val="10"/>
            <color rgb="FF000000"/>
            <rFont val="Tahoma"/>
            <family val="2"/>
          </rPr>
          <t>Your earnings are found under the "Hours and Earnings" section of your paystub. Do not include your vacation pay.</t>
        </r>
      </text>
    </comment>
    <comment ref="F66" authorId="0" shapeId="0" xr:uid="{DF3CF3EF-D686-C44B-BC66-DCEA83337021}">
      <text>
        <r>
          <rPr>
            <sz val="10"/>
            <color rgb="FF000000"/>
            <rFont val="Tahoma"/>
            <family val="2"/>
          </rPr>
          <t>Your earnings are found under the "Hours and Earnings" section of your paystub. Do not include your vacation pay.</t>
        </r>
      </text>
    </comment>
    <comment ref="M66" authorId="0" shapeId="0" xr:uid="{97731E19-807A-5640-81E0-3C6268DCE5AF}">
      <text>
        <r>
          <rPr>
            <sz val="10"/>
            <color rgb="FF000000"/>
            <rFont val="Tahoma"/>
            <family val="2"/>
          </rPr>
          <t>Your earnings are found under the "Hours and Earnings" section of your paystub. Do not include your vacation pay.</t>
        </r>
      </text>
    </comment>
    <comment ref="F67" authorId="0" shapeId="0" xr:uid="{94946EC9-3555-224F-ABDC-44EA49848BE4}">
      <text>
        <r>
          <rPr>
            <sz val="10"/>
            <color rgb="FF000000"/>
            <rFont val="Tahoma"/>
            <family val="2"/>
          </rPr>
          <t>Your earnings are found under the "Hours and Earnings" section of your paystub. Do not include your vacation pay.</t>
        </r>
      </text>
    </comment>
    <comment ref="M67" authorId="0" shapeId="0" xr:uid="{9783D176-44C5-0F41-B7A1-B96478D90322}">
      <text>
        <r>
          <rPr>
            <sz val="10"/>
            <color rgb="FF000000"/>
            <rFont val="Tahoma"/>
            <family val="2"/>
          </rPr>
          <t>Your earnings are found under the "Hours and Earnings" section of your paystub. Do not include your vacation pay.</t>
        </r>
      </text>
    </comment>
    <comment ref="F68" authorId="0" shapeId="0" xr:uid="{B4447FDB-87F6-6F41-9B0B-FFB1A3E86408}">
      <text>
        <r>
          <rPr>
            <sz val="10"/>
            <color rgb="FF000000"/>
            <rFont val="Tahoma"/>
            <family val="2"/>
          </rPr>
          <t>Your earnings are found under the "Hours and Earnings" section of your paystub. Do not include your vacation pay.</t>
        </r>
      </text>
    </comment>
    <comment ref="M68" authorId="0" shapeId="0" xr:uid="{6EC2A8EB-8617-F340-B9B5-B3C090F1FC82}">
      <text>
        <r>
          <rPr>
            <sz val="10"/>
            <color rgb="FF000000"/>
            <rFont val="Tahoma"/>
            <family val="2"/>
          </rPr>
          <t>Your earnings are found under the "Hours and Earnings" section of your paystub. Do not include your vacation pay.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19" authorId="0" shapeId="0" xr:uid="{0826B411-619F-AC4D-A57F-8F10258F2DCD}">
      <text>
        <r>
          <rPr>
            <sz val="10"/>
            <color rgb="FF000000"/>
            <rFont val="Aptos Narrow"/>
          </rPr>
          <t xml:space="preserve">A “full TAship” is </t>
        </r>
        <r>
          <rPr>
            <b/>
            <sz val="10"/>
            <color rgb="FF000000"/>
            <rFont val="Aptos Narrow"/>
          </rPr>
          <t>two</t>
        </r>
        <r>
          <rPr>
            <sz val="10"/>
            <color rgb="FF000000"/>
            <rFont val="Aptos Narrow"/>
          </rPr>
          <t xml:space="preserve"> tutor 1 positions (e.g., 2 hours per week in a tutorial in a FW course). A single tutor 1 position “normally consists of one (1) one-hour tutorial group per week in the fall/winter session, or the pro- rated equivalent in other sessions” (U2 CA p.28). </t>
        </r>
      </text>
    </comment>
  </commentList>
</comments>
</file>

<file path=xl/sharedStrings.xml><?xml version="1.0" encoding="utf-8"?>
<sst xmlns="http://schemas.openxmlformats.org/spreadsheetml/2006/main" count="237" uniqueCount="150">
  <si>
    <t>type 1</t>
  </si>
  <si>
    <t xml:space="preserve">Clinical CD (Nursing) </t>
  </si>
  <si>
    <t xml:space="preserve">Tutor 2 (Demonstrator) </t>
  </si>
  <si>
    <t xml:space="preserve">Tutor 6 (Studio Instructor) </t>
  </si>
  <si>
    <t xml:space="preserve">Tutor 6 (Visual Arts) </t>
  </si>
  <si>
    <t xml:space="preserve">Tutor 7 (Miscellaneous) </t>
  </si>
  <si>
    <t xml:space="preserve">Instructor (Education) </t>
  </si>
  <si>
    <t xml:space="preserve">Writing Instructor </t>
  </si>
  <si>
    <t xml:space="preserve">Team Lecturer </t>
  </si>
  <si>
    <t>LSTA (Writing Instructor)</t>
  </si>
  <si>
    <t>LSTA (Course Director)</t>
  </si>
  <si>
    <t>Winter 2024</t>
  </si>
  <si>
    <t>Course Director</t>
  </si>
  <si>
    <t>Tutor 1 (TA)</t>
  </si>
  <si>
    <t>type 2</t>
  </si>
  <si>
    <t>type 3</t>
  </si>
  <si>
    <t>Position</t>
  </si>
  <si>
    <t>FW 2023-24</t>
  </si>
  <si>
    <t>Total:</t>
  </si>
  <si>
    <t>SU 2024</t>
  </si>
  <si>
    <t>S1 2024</t>
  </si>
  <si>
    <t>S2 2024</t>
  </si>
  <si>
    <t>Pay Rate</t>
  </si>
  <si>
    <t>Tutor 3 (Marker/ Grader)*</t>
  </si>
  <si>
    <t>Tutor 4 (Individual Tutor) *</t>
  </si>
  <si>
    <t>Music Tutor*</t>
  </si>
  <si>
    <t>Coach (Fine Arts)*</t>
  </si>
  <si>
    <t>Computer Centre Advisor*</t>
  </si>
  <si>
    <t xml:space="preserve">Overwork Rate* </t>
  </si>
  <si>
    <t>Total salary</t>
  </si>
  <si>
    <t>Monthly summer pay May-June</t>
  </si>
  <si>
    <t>Monthly summer pay July-Aug</t>
  </si>
  <si>
    <t>Salary: FW contracts</t>
  </si>
  <si>
    <t>(to finish FW + W contracts)</t>
  </si>
  <si>
    <t>Pay for summer term work in June:</t>
  </si>
  <si>
    <t>Pay for summer term work in May:</t>
  </si>
  <si>
    <t>Pay to cover the remaining 10% of your FW + W contracts:</t>
  </si>
  <si>
    <t>Total</t>
  </si>
  <si>
    <t xml:space="preserve">Total: </t>
  </si>
  <si>
    <t>90% of March &amp; April pay:</t>
  </si>
  <si>
    <t>Remaining 10% of March &amp; April pay:</t>
  </si>
  <si>
    <t>Union position</t>
  </si>
  <si>
    <t>Monthly Winter 2024 pay were it not for the strike:</t>
  </si>
  <si>
    <t>Visit HR Self serve and click on "Work History and Seniority"</t>
  </si>
  <si>
    <t>Step 1</t>
  </si>
  <si>
    <t>Step 2</t>
  </si>
  <si>
    <t>Enter the "# assignments" (second column) below.</t>
  </si>
  <si>
    <t>Step 3</t>
  </si>
  <si>
    <t>Enter earnings shown on paycheque:</t>
  </si>
  <si>
    <t>Discrepancy:</t>
  </si>
  <si>
    <t>Note your contracts for FW 2023-2024 &amp; Summer 2024</t>
  </si>
  <si>
    <t>Seniority Category</t>
  </si>
  <si>
    <t>What was on your MAY paycheque?</t>
  </si>
  <si>
    <t>Pay to bring received earnings up to 90% of your FW + W contracts:</t>
  </si>
  <si>
    <t>Unit 2 Summer 2024  Paycheque Analyzer</t>
  </si>
  <si>
    <t>100% of remediation pay owed:</t>
  </si>
  <si>
    <t>* these will be # hours</t>
  </si>
  <si>
    <t>9/01/20 -- 8/31/21</t>
  </si>
  <si>
    <t>9/01/21 -- 8/31/22</t>
  </si>
  <si>
    <t>9/01/22 -- 8/31/23</t>
  </si>
  <si>
    <t xml:space="preserve">Enter the "# assignments" below </t>
  </si>
  <si>
    <t>Note your contracts with start dates from 9/01/20 to 8/31/23</t>
  </si>
  <si>
    <t>according to their start dates.</t>
  </si>
  <si>
    <t>sept 1 2019</t>
  </si>
  <si>
    <t>2021-22</t>
  </si>
  <si>
    <t>2022-23</t>
  </si>
  <si>
    <t>TOTAL 2020-2023:</t>
  </si>
  <si>
    <t xml:space="preserve">2020-21 </t>
  </si>
  <si>
    <t>1% raise</t>
  </si>
  <si>
    <t>2% raise</t>
  </si>
  <si>
    <t>3% raise</t>
  </si>
  <si>
    <t>Retroactive pay owed</t>
  </si>
  <si>
    <t>Retroactive pay raise to 2020-2023 earnings</t>
  </si>
  <si>
    <t>Step 4</t>
  </si>
  <si>
    <t>Retroactive Wage Increase Calculator (2 steps)</t>
  </si>
  <si>
    <t>MAY</t>
  </si>
  <si>
    <t>JUNE</t>
  </si>
  <si>
    <t>JULY</t>
  </si>
  <si>
    <t>AUGUST</t>
  </si>
  <si>
    <t>hrhelp@yorku.ca</t>
  </si>
  <si>
    <t>Rolling Discrepancy as of June 25:</t>
  </si>
  <si>
    <t>Rolling Discrepancy as of July 25:</t>
  </si>
  <si>
    <t>Rolling Discrepancy as of August 25:</t>
  </si>
  <si>
    <t>Go to the "retro pay" sheet (see tab at bottom) and follow those steps to find out how much retroactive pay you are owed.</t>
  </si>
  <si>
    <t>HR email:</t>
  </si>
  <si>
    <t>If you have not received the full pay you are owed, email HR  and request a detailed breakdown of your paycheque(s). Save their response. We will need it later.</t>
  </si>
  <si>
    <t>You are supposed to receive the final portion of your remediation pay as soon as practicable</t>
  </si>
  <si>
    <t xml:space="preserve">after you submit the remediation form(s) confirming that you completed your contracts. </t>
  </si>
  <si>
    <t>Earnings for summer term work in July:</t>
  </si>
  <si>
    <t>Earnings for summer term work in August:</t>
  </si>
  <si>
    <t>What was on your JUNE paycheque(s)?</t>
  </si>
  <si>
    <t>What was on your JULY paycheque(s)?</t>
  </si>
  <si>
    <t>What was on your AUGUST paycheque(s)?</t>
  </si>
  <si>
    <t>Enter retro pay you recieved this month (if any):</t>
  </si>
  <si>
    <t>You are supposed to receive your retroactive pay for the Bill 124 years (aka "moderation period"</t>
  </si>
  <si>
    <t>Your remediation earnings:</t>
  </si>
  <si>
    <t>Your regular earnings:</t>
  </si>
  <si>
    <t>Your remediation earnings (if any):</t>
  </si>
  <si>
    <t>Enter retro pay you recieved this month:</t>
  </si>
  <si>
    <t>earnings) in one lump sum payment in June.</t>
  </si>
  <si>
    <t>Click here to find your earnings on your paystub</t>
  </si>
  <si>
    <t>2019-20</t>
  </si>
  <si>
    <t>2020-21</t>
  </si>
  <si>
    <t>2023-24</t>
  </si>
  <si>
    <t>CD s/b</t>
  </si>
  <si>
    <t>new raise for next year excludiung 1% from Bill 124</t>
  </si>
  <si>
    <t>Employer's stated position</t>
  </si>
  <si>
    <t>Prepared by a non-accountant working without inside knowledge of the employer's payroll calculations.</t>
  </si>
  <si>
    <t>Prepared by a non-accountant working without inside knowledge of the employer's payroll calculations</t>
  </si>
  <si>
    <t>Contracts</t>
  </si>
  <si>
    <t>Paycheque Earnings</t>
  </si>
  <si>
    <t>Action</t>
  </si>
  <si>
    <t>The context:</t>
  </si>
  <si>
    <t>About NOUS</t>
  </si>
  <si>
    <t>NOUS at Queens</t>
  </si>
  <si>
    <t>York is not transparent about money. Its claims about growing deficits are declared at every opportunity, but the actual accounting details remain hidden. Observers, however, can see that deficits are created in part by drawing funds from the academic mission and directing them to support capital projects such as the Markham campus and the Vaughan medical school. This has resulted in severe cuts to courses taught mostly by unit 2 members, reducing the diversity of course offerings and replacing them with impersonal mega-courses. It has resulted in amalgamations of departments and programs, such as happened at Glendon and is scheduled to happen at Keele, that will result in cuts to YUSA jobs. Meanwhile, the backlog in much needed maintenance repairs across campuses continues to grow. Observers can also see that these and other examples of mismanagement follow a script provided by the NOUS consultancy firm, who York paid $8.3M last year before it “saved” roughly the same amount of money by cutting over 410 courses this year, with more cuts coming (Board of Governors, June 27, 2023, pp. 58-60; Senate May 23, 2024, p.43). We need to work together to defend hgher education against this mismanagement.</t>
  </si>
  <si>
    <t>NOUS at UofA</t>
  </si>
  <si>
    <t>Here is how that looks for one Course Directorship:</t>
  </si>
  <si>
    <t>2019-20 pay rate is $17,911.00. </t>
  </si>
  <si>
    <t>2023-24: $19,569.99 multiplied by 1.031 =  $20,176.66</t>
  </si>
  <si>
    <t xml:space="preserve">Note on method: </t>
  </si>
  <si>
    <t>retro 3%</t>
  </si>
  <si>
    <t>new sept 2021 rate (viz +3%)</t>
  </si>
  <si>
    <t>new sept 2022 rate (viz +4%)</t>
  </si>
  <si>
    <t>retro 3% owed (2022-2023)</t>
  </si>
  <si>
    <t>old 2020 rate</t>
  </si>
  <si>
    <t>retro owed</t>
  </si>
  <si>
    <t>New rate 2020 (2%)</t>
  </si>
  <si>
    <t>old 2021 rate</t>
  </si>
  <si>
    <t>retro 2020 rate (1%)</t>
  </si>
  <si>
    <t>retro 2021 rate (2%)</t>
  </si>
  <si>
    <t>old 2022 rate</t>
  </si>
  <si>
    <t>(1) Determining revised wage rate: Since the pay rate numbers from the 2020-23 collective agreement are outdated now that we won a retroactive wage increase, the method used here starts with the 2019-20 rate and builds up year to year from there. Retroactive raises are added to the previous year's rate.</t>
  </si>
  <si>
    <t xml:space="preserve">(2) Backpay owed is the difference between the old pay rate (during Bill 124, in the previous collective agreement) and the new pay rate calculated at (1) above. </t>
  </si>
  <si>
    <t xml:space="preserve">2020-21: $17,911.00 multiplied by 1.02 = $18,269.22 </t>
  </si>
  <si>
    <t>2021-22: $18,269.22 multiplied by 1.03 =  $18,817.30</t>
  </si>
  <si>
    <t>2022-23: $18,817.30 multiplied by 1.04 =  $19,569.99</t>
  </si>
  <si>
    <t>Retro pay owed Sept-Feb 2023-24</t>
  </si>
  <si>
    <t>old 2023 rate</t>
  </si>
  <si>
    <t>retro 3.1%</t>
  </si>
  <si>
    <t>retro 3.1% owed 6 months (FW)</t>
  </si>
  <si>
    <t>retro 3.1% owed for 2 months (W)</t>
  </si>
  <si>
    <t>new 2023-24 rate</t>
  </si>
  <si>
    <t>Retroactive pay raise to 2020-2024 earnings (includes step 3)</t>
  </si>
  <si>
    <t>Fall 2023</t>
  </si>
  <si>
    <t>Salary: Fall 2023 contracts</t>
  </si>
  <si>
    <t>Salary: Winter 2024 contracts</t>
  </si>
  <si>
    <t>retro 3.1% owed for 4 months (F)</t>
  </si>
  <si>
    <t xml:space="preserve">CUPE contact: </t>
  </si>
  <si>
    <t>Neil Braganza, Lead Steward Unit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</si>
</sst>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3">
    <font>
      <sz val="12"/>
      <color theme="1"/>
      <name val="Aptos Narrow"/>
      <family val="2"/>
      <scheme val="minor"/>
    </font>
    <font>
      <sz val="12"/>
      <color theme="1"/>
      <name val="Aptos"/>
    </font>
    <font>
      <sz val="12"/>
      <color rgb="FF000000"/>
      <name val="Aptos Narrow"/>
      <family val="2"/>
      <scheme val="minor"/>
    </font>
    <font>
      <b/>
      <sz val="12"/>
      <color theme="1"/>
      <name val="Aptos Narrow"/>
      <scheme val="minor"/>
    </font>
    <font>
      <sz val="12"/>
      <color rgb="FFFF0000"/>
      <name val="Aptos Narrow"/>
      <family val="2"/>
      <scheme val="minor"/>
    </font>
    <font>
      <sz val="10"/>
      <color rgb="FF000000"/>
      <name val="Tahoma"/>
      <family val="2"/>
    </font>
    <font>
      <b/>
      <sz val="16"/>
      <color theme="1"/>
      <name val="Aptos Narrow"/>
      <scheme val="minor"/>
    </font>
    <font>
      <u/>
      <sz val="12"/>
      <color theme="10"/>
      <name val="Aptos Narrow"/>
      <family val="2"/>
      <scheme val="minor"/>
    </font>
    <font>
      <b/>
      <sz val="22"/>
      <color theme="1"/>
      <name val="Aptos Narrow"/>
      <scheme val="minor"/>
    </font>
    <font>
      <sz val="14"/>
      <color rgb="FFFF0000"/>
      <name val="Aptos Narrow"/>
      <family val="2"/>
      <scheme val="minor"/>
    </font>
    <font>
      <sz val="10"/>
      <color rgb="FF000000"/>
      <name val="Aptos Narrow"/>
    </font>
    <font>
      <b/>
      <sz val="10"/>
      <color rgb="FF000000"/>
      <name val="Aptos Narrow"/>
    </font>
    <font>
      <sz val="14"/>
      <color rgb="FF0070C0"/>
      <name val="Aptos Narrow"/>
      <family val="2"/>
      <scheme val="minor"/>
    </font>
    <font>
      <sz val="12"/>
      <color theme="0"/>
      <name val="Aptos Narrow"/>
      <scheme val="minor"/>
    </font>
    <font>
      <b/>
      <sz val="22"/>
      <color theme="1"/>
      <name val="Aptos"/>
    </font>
    <font>
      <sz val="14"/>
      <color rgb="FFFF0000"/>
      <name val="Aptos"/>
    </font>
    <font>
      <sz val="12"/>
      <color theme="1"/>
      <name val="Aptos Narrow"/>
      <scheme val="minor"/>
    </font>
    <font>
      <u/>
      <sz val="12"/>
      <color theme="10"/>
      <name val="Aptos"/>
    </font>
    <font>
      <u/>
      <sz val="14"/>
      <color theme="10"/>
      <name val="Aptos Narrow"/>
      <family val="2"/>
      <scheme val="minor"/>
    </font>
    <font>
      <b/>
      <sz val="22"/>
      <color theme="3" tint="0.249977111117893"/>
      <name val="Aptos"/>
    </font>
    <font>
      <i/>
      <sz val="12"/>
      <color theme="1"/>
      <name val="Aptos Narrow"/>
      <scheme val="minor"/>
    </font>
    <font>
      <b/>
      <sz val="12"/>
      <color theme="0"/>
      <name val="Aptos Narrow"/>
      <scheme val="minor"/>
    </font>
    <font>
      <sz val="12"/>
      <name val="Aptos Narrow"/>
      <scheme val="minor"/>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32">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49">
    <xf numFmtId="0" fontId="0" fillId="0" borderId="0" xfId="0"/>
    <xf numFmtId="0" fontId="1" fillId="0" borderId="0" xfId="0" applyFont="1" applyAlignment="1">
      <alignment vertical="center"/>
    </xf>
    <xf numFmtId="8" fontId="1" fillId="0" borderId="0" xfId="0" applyNumberFormat="1" applyFont="1" applyAlignment="1">
      <alignment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8" fontId="1" fillId="0" borderId="0" xfId="0" applyNumberFormat="1" applyFont="1" applyAlignment="1">
      <alignment horizontal="right" vertical="center"/>
    </xf>
    <xf numFmtId="8" fontId="0" fillId="0" borderId="0" xfId="0" applyNumberFormat="1" applyAlignment="1">
      <alignment horizontal="center"/>
    </xf>
    <xf numFmtId="44" fontId="1" fillId="0" borderId="0" xfId="0" applyNumberFormat="1" applyFont="1" applyAlignment="1">
      <alignment vertical="center"/>
    </xf>
    <xf numFmtId="0" fontId="1" fillId="0" borderId="0" xfId="0" applyFont="1" applyAlignment="1">
      <alignment horizontal="right" vertical="center"/>
    </xf>
    <xf numFmtId="44" fontId="0" fillId="0" borderId="0" xfId="0" applyNumberFormat="1"/>
    <xf numFmtId="8" fontId="1" fillId="0" borderId="0" xfId="0" applyNumberFormat="1" applyFont="1" applyAlignment="1">
      <alignment horizontal="left" vertical="center"/>
    </xf>
    <xf numFmtId="0" fontId="0" fillId="0" borderId="0" xfId="0" applyAlignment="1">
      <alignment vertical="center"/>
    </xf>
    <xf numFmtId="0" fontId="8" fillId="0" borderId="3" xfId="0" applyFont="1" applyBorder="1" applyAlignment="1">
      <alignment horizontal="center"/>
    </xf>
    <xf numFmtId="8" fontId="0" fillId="0" borderId="0" xfId="0" applyNumberFormat="1" applyAlignment="1">
      <alignment horizontal="center" vertical="center"/>
    </xf>
    <xf numFmtId="0" fontId="0" fillId="0" borderId="6" xfId="0" applyBorder="1" applyAlignment="1">
      <alignment horizontal="center"/>
    </xf>
    <xf numFmtId="0" fontId="3" fillId="0" borderId="0" xfId="0" applyFont="1" applyAlignment="1">
      <alignment vertical="center"/>
    </xf>
    <xf numFmtId="0" fontId="8" fillId="0" borderId="15" xfId="0" applyFont="1" applyBorder="1" applyAlignment="1">
      <alignment horizontal="center"/>
    </xf>
    <xf numFmtId="0" fontId="3" fillId="0" borderId="16" xfId="0" applyFont="1" applyBorder="1" applyAlignment="1">
      <alignment vertical="center"/>
    </xf>
    <xf numFmtId="0" fontId="0" fillId="0" borderId="16" xfId="0" applyBorder="1"/>
    <xf numFmtId="0" fontId="0" fillId="0" borderId="0" xfId="0" applyAlignment="1">
      <alignment horizontal="right" vertical="center"/>
    </xf>
    <xf numFmtId="0" fontId="1" fillId="0" borderId="17" xfId="0" applyFont="1" applyBorder="1" applyAlignment="1">
      <alignment vertical="center"/>
    </xf>
    <xf numFmtId="0" fontId="1" fillId="0" borderId="17" xfId="0" applyFont="1" applyBorder="1" applyAlignment="1" applyProtection="1">
      <alignment horizontal="center" vertical="center"/>
      <protection locked="0"/>
    </xf>
    <xf numFmtId="44" fontId="1" fillId="0" borderId="17" xfId="0" applyNumberFormat="1" applyFont="1" applyBorder="1" applyAlignment="1">
      <alignment vertical="center"/>
    </xf>
    <xf numFmtId="0" fontId="1" fillId="0" borderId="20" xfId="0" applyFont="1" applyBorder="1" applyAlignment="1">
      <alignment vertical="center"/>
    </xf>
    <xf numFmtId="44" fontId="1" fillId="0" borderId="19" xfId="0" applyNumberFormat="1" applyFont="1" applyBorder="1" applyAlignment="1">
      <alignment vertical="center"/>
    </xf>
    <xf numFmtId="8" fontId="0" fillId="0" borderId="17" xfId="0" applyNumberFormat="1" applyBorder="1" applyAlignment="1">
      <alignment horizontal="center" vertical="center"/>
    </xf>
    <xf numFmtId="0" fontId="0" fillId="0" borderId="17" xfId="0" applyBorder="1" applyAlignment="1">
      <alignment vertical="center"/>
    </xf>
    <xf numFmtId="0" fontId="0" fillId="0" borderId="1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0" xfId="0" applyBorder="1" applyAlignment="1">
      <alignment vertical="center"/>
    </xf>
    <xf numFmtId="0" fontId="0" fillId="0" borderId="21" xfId="0" applyBorder="1" applyAlignment="1">
      <alignment vertical="center"/>
    </xf>
    <xf numFmtId="44" fontId="0" fillId="0" borderId="19" xfId="0" applyNumberFormat="1" applyBorder="1" applyAlignment="1">
      <alignment vertical="center"/>
    </xf>
    <xf numFmtId="0" fontId="0" fillId="0" borderId="22" xfId="0" applyBorder="1" applyAlignment="1">
      <alignment vertical="center"/>
    </xf>
    <xf numFmtId="0" fontId="2" fillId="0" borderId="20" xfId="0" applyFont="1" applyBorder="1" applyAlignment="1">
      <alignment vertical="center"/>
    </xf>
    <xf numFmtId="0" fontId="0" fillId="0" borderId="23" xfId="0" applyBorder="1" applyAlignment="1">
      <alignment horizontal="right" vertical="center"/>
    </xf>
    <xf numFmtId="44" fontId="0" fillId="0" borderId="2" xfId="0" applyNumberFormat="1" applyBorder="1" applyAlignment="1" applyProtection="1">
      <alignment vertical="center"/>
      <protection locked="0"/>
    </xf>
    <xf numFmtId="0" fontId="4" fillId="0" borderId="0" xfId="0" applyFont="1" applyAlignment="1">
      <alignment vertical="center"/>
    </xf>
    <xf numFmtId="0" fontId="3" fillId="0" borderId="24" xfId="0" applyFont="1" applyBorder="1" applyAlignment="1">
      <alignment vertical="center"/>
    </xf>
    <xf numFmtId="44" fontId="9" fillId="0" borderId="0" xfId="0" applyNumberFormat="1" applyFont="1" applyAlignment="1">
      <alignment horizontal="right" vertical="center"/>
    </xf>
    <xf numFmtId="44" fontId="9" fillId="0" borderId="0" xfId="0" applyNumberFormat="1" applyFont="1" applyAlignment="1">
      <alignment vertical="center"/>
    </xf>
    <xf numFmtId="0" fontId="0" fillId="0" borderId="25"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left"/>
    </xf>
    <xf numFmtId="0" fontId="0" fillId="0" borderId="9" xfId="0" applyBorder="1"/>
    <xf numFmtId="0" fontId="1" fillId="0" borderId="10" xfId="0" applyFont="1" applyBorder="1" applyAlignment="1">
      <alignment vertical="center"/>
    </xf>
    <xf numFmtId="0" fontId="0" fillId="0" borderId="7" xfId="0" applyBorder="1"/>
    <xf numFmtId="0" fontId="1" fillId="0" borderId="8" xfId="0" applyFont="1" applyBorder="1" applyAlignment="1">
      <alignment vertical="center"/>
    </xf>
    <xf numFmtId="0" fontId="12" fillId="0" borderId="6" xfId="0" applyFont="1" applyBorder="1" applyAlignment="1">
      <alignment horizontal="center" vertical="center"/>
    </xf>
    <xf numFmtId="44" fontId="12" fillId="0" borderId="7" xfId="0" applyNumberFormat="1" applyFont="1" applyBorder="1" applyAlignment="1">
      <alignment horizontal="center" vertical="center"/>
    </xf>
    <xf numFmtId="0" fontId="13" fillId="0" borderId="0" xfId="0" applyFont="1"/>
    <xf numFmtId="44" fontId="13" fillId="0" borderId="0" xfId="0" applyNumberFormat="1" applyFont="1"/>
    <xf numFmtId="0" fontId="1" fillId="0" borderId="0" xfId="0" applyFont="1" applyAlignment="1" applyProtection="1">
      <alignment vertical="center"/>
      <protection locked="0"/>
    </xf>
    <xf numFmtId="0" fontId="6" fillId="0" borderId="9" xfId="0" applyFont="1" applyBorder="1" applyAlignment="1">
      <alignment horizontal="center" vertical="center"/>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3" xfId="0" applyBorder="1"/>
    <xf numFmtId="44" fontId="0" fillId="0" borderId="26" xfId="0" applyNumberFormat="1" applyBorder="1"/>
    <xf numFmtId="44" fontId="0" fillId="0" borderId="27" xfId="0" applyNumberFormat="1" applyBorder="1"/>
    <xf numFmtId="0" fontId="0" fillId="0" borderId="26" xfId="0" applyBorder="1" applyAlignment="1">
      <alignment horizontal="center" vertical="center"/>
    </xf>
    <xf numFmtId="0" fontId="0" fillId="0" borderId="28" xfId="0"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8" fillId="0" borderId="0" xfId="0" applyFont="1" applyAlignment="1">
      <alignment vertical="center"/>
    </xf>
    <xf numFmtId="0" fontId="13" fillId="0" borderId="0" xfId="0" applyFont="1" applyAlignment="1">
      <alignment horizontal="center" wrapText="1"/>
    </xf>
    <xf numFmtId="0" fontId="8" fillId="0" borderId="0" xfId="0" applyFont="1" applyAlignment="1">
      <alignment horizontal="center" vertical="center"/>
    </xf>
    <xf numFmtId="0" fontId="0" fillId="0" borderId="22" xfId="0" applyBorder="1"/>
    <xf numFmtId="0" fontId="0" fillId="0" borderId="21" xfId="0" applyBorder="1"/>
    <xf numFmtId="44" fontId="0" fillId="0" borderId="19" xfId="0" applyNumberFormat="1" applyBorder="1"/>
    <xf numFmtId="0" fontId="8" fillId="0" borderId="0" xfId="0" applyFont="1" applyAlignment="1">
      <alignment horizontal="center"/>
    </xf>
    <xf numFmtId="0" fontId="1" fillId="0" borderId="0" xfId="0" applyFont="1" applyAlignment="1">
      <alignment horizontal="center"/>
    </xf>
    <xf numFmtId="0" fontId="1"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8" fontId="1" fillId="0" borderId="17" xfId="0" applyNumberFormat="1" applyFont="1" applyBorder="1" applyAlignment="1">
      <alignment horizontal="center" vertical="center"/>
    </xf>
    <xf numFmtId="0" fontId="1" fillId="0" borderId="18" xfId="0" applyFont="1" applyBorder="1" applyAlignment="1" applyProtection="1">
      <alignment horizontal="center" vertical="center"/>
      <protection locked="0"/>
    </xf>
    <xf numFmtId="44" fontId="1" fillId="0" borderId="17" xfId="0" applyNumberFormat="1" applyFont="1" applyBorder="1" applyAlignment="1">
      <alignment horizontal="right" vertical="center"/>
    </xf>
    <xf numFmtId="8" fontId="1" fillId="0" borderId="0" xfId="0" applyNumberFormat="1" applyFont="1" applyAlignment="1">
      <alignment horizontal="center" vertical="center"/>
    </xf>
    <xf numFmtId="8" fontId="1" fillId="0" borderId="0" xfId="0" applyNumberFormat="1" applyFont="1" applyAlignment="1">
      <alignment horizontal="center"/>
    </xf>
    <xf numFmtId="0" fontId="15"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horizontal="right" vertical="center"/>
    </xf>
    <xf numFmtId="0" fontId="1" fillId="0" borderId="0" xfId="0" applyFont="1" applyAlignment="1">
      <alignment horizontal="left"/>
    </xf>
    <xf numFmtId="0" fontId="17" fillId="0" borderId="0" xfId="1" applyFont="1"/>
    <xf numFmtId="0" fontId="0" fillId="0" borderId="2" xfId="0" applyBorder="1" applyAlignment="1" applyProtection="1">
      <alignment vertical="center"/>
      <protection locked="0"/>
    </xf>
    <xf numFmtId="0" fontId="19" fillId="0" borderId="0" xfId="0" applyFont="1"/>
    <xf numFmtId="0" fontId="7" fillId="0" borderId="0" xfId="1"/>
    <xf numFmtId="0" fontId="0" fillId="0" borderId="0" xfId="0" applyAlignment="1">
      <alignment horizontal="left" wrapText="1"/>
    </xf>
    <xf numFmtId="0" fontId="20" fillId="0" borderId="0" xfId="0" applyFont="1"/>
    <xf numFmtId="9" fontId="0" fillId="0" borderId="0" xfId="0" applyNumberFormat="1" applyAlignment="1">
      <alignment horizontal="center" vertical="center"/>
    </xf>
    <xf numFmtId="49" fontId="13" fillId="0" borderId="0" xfId="0" applyNumberFormat="1" applyFont="1" applyAlignment="1">
      <alignment vertical="center"/>
    </xf>
    <xf numFmtId="0" fontId="13" fillId="0" borderId="0" xfId="0" applyFont="1" applyAlignment="1">
      <alignment horizontal="center" vertical="center" wrapText="1"/>
    </xf>
    <xf numFmtId="0" fontId="21" fillId="0" borderId="0" xfId="0" applyFont="1" applyAlignment="1">
      <alignment horizontal="center" wrapText="1"/>
    </xf>
    <xf numFmtId="49" fontId="13" fillId="0" borderId="0" xfId="0" applyNumberFormat="1" applyFont="1" applyAlignment="1">
      <alignment horizontal="center" vertical="center"/>
    </xf>
    <xf numFmtId="44" fontId="0" fillId="0" borderId="17" xfId="0" applyNumberFormat="1" applyBorder="1" applyAlignment="1">
      <alignment vertical="center"/>
    </xf>
    <xf numFmtId="0" fontId="22" fillId="0" borderId="0" xfId="0" applyFont="1"/>
    <xf numFmtId="0" fontId="21" fillId="0" borderId="0" xfId="0" applyFont="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4" fillId="3" borderId="0" xfId="0" applyFont="1" applyFill="1" applyAlignment="1">
      <alignment horizontal="center"/>
    </xf>
    <xf numFmtId="0" fontId="14" fillId="2" borderId="0" xfId="0" applyFont="1" applyFill="1" applyAlignment="1">
      <alignment horizontal="center" vertical="center"/>
    </xf>
    <xf numFmtId="0" fontId="0" fillId="0" borderId="0" xfId="0" applyAlignment="1">
      <alignment horizontal="center"/>
    </xf>
    <xf numFmtId="0" fontId="16" fillId="0" borderId="0" xfId="0" applyFont="1" applyAlignment="1">
      <alignment horizontal="right" vertical="center"/>
    </xf>
    <xf numFmtId="0" fontId="16" fillId="0" borderId="10" xfId="0" applyFont="1" applyBorder="1" applyAlignment="1">
      <alignment horizontal="right" vertical="center"/>
    </xf>
    <xf numFmtId="0" fontId="1" fillId="0" borderId="0" xfId="0" applyFont="1" applyAlignment="1">
      <alignment horizontal="left"/>
    </xf>
    <xf numFmtId="0" fontId="18" fillId="0" borderId="0" xfId="1" applyFont="1" applyBorder="1" applyAlignment="1">
      <alignment horizontal="center" vertical="center" wrapText="1"/>
    </xf>
    <xf numFmtId="0" fontId="15" fillId="0" borderId="0" xfId="0" applyFont="1" applyAlignment="1">
      <alignment horizontal="right" vertical="center"/>
    </xf>
    <xf numFmtId="0" fontId="1" fillId="0" borderId="0" xfId="0" applyFont="1" applyAlignment="1">
      <alignment horizontal="left" vertical="center" wrapText="1"/>
    </xf>
    <xf numFmtId="0" fontId="1" fillId="0" borderId="0" xfId="0" applyFont="1" applyAlignment="1">
      <alignment horizontal="right" vertical="center"/>
    </xf>
    <xf numFmtId="0" fontId="14" fillId="0" borderId="0" xfId="0" applyFont="1" applyAlignment="1">
      <alignment horizontal="center"/>
    </xf>
    <xf numFmtId="0" fontId="0" fillId="0" borderId="7" xfId="0" applyBorder="1" applyAlignment="1">
      <alignment horizontal="left" vertical="top"/>
    </xf>
    <xf numFmtId="0" fontId="0" fillId="0" borderId="8" xfId="0" applyBorder="1" applyAlignment="1">
      <alignment horizontal="left" vertical="top"/>
    </xf>
    <xf numFmtId="0" fontId="7" fillId="0" borderId="4" xfId="1" applyBorder="1" applyAlignment="1">
      <alignment horizontal="left" vertical="center"/>
    </xf>
    <xf numFmtId="0" fontId="7" fillId="0" borderId="5" xfId="1" applyBorder="1" applyAlignment="1">
      <alignment horizontal="left" vertical="center"/>
    </xf>
    <xf numFmtId="0" fontId="1" fillId="0" borderId="9" xfId="0" applyFont="1" applyBorder="1" applyAlignment="1">
      <alignment horizontal="center" vertical="top"/>
    </xf>
    <xf numFmtId="0" fontId="1" fillId="0" borderId="0" xfId="0" applyFont="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 xfId="0" applyFont="1" applyBorder="1" applyAlignment="1">
      <alignment horizontal="center" vertical="top"/>
    </xf>
    <xf numFmtId="0" fontId="1" fillId="0" borderId="12" xfId="0" applyFont="1" applyBorder="1" applyAlignment="1">
      <alignment horizontal="center" vertical="top"/>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1" fillId="0" borderId="10" xfId="0" applyFont="1" applyBorder="1" applyAlignment="1">
      <alignment horizontal="right" vertical="center"/>
    </xf>
    <xf numFmtId="0" fontId="0" fillId="0" borderId="0" xfId="0"/>
    <xf numFmtId="0" fontId="0" fillId="0" borderId="0" xfId="0" applyAlignment="1">
      <alignment horizontal="left"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8" fillId="0" borderId="0" xfId="0" applyFont="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0" fillId="0" borderId="9"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20" fillId="0" borderId="0" xfId="0" applyFont="1" applyAlignment="1">
      <alignment horizontal="left" wrapText="1"/>
    </xf>
    <xf numFmtId="0" fontId="7" fillId="0" borderId="0" xfId="1" applyAlignment="1">
      <alignment horizontal="left"/>
    </xf>
  </cellXfs>
  <cellStyles count="2">
    <cellStyle name="Hyperlink" xfId="1" builtinId="8"/>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ocs.google.com/document/d/1tdK9cWxkOsGN6axL_kC-s1HWdOXzS-jpoPNDKW1cj2Y/edit?usp=sharing" TargetMode="External"/><Relationship Id="rId7" Type="http://schemas.openxmlformats.org/officeDocument/2006/relationships/hyperlink" Target="mailto:cupe3903chiefstewardunit2@gmail.com" TargetMode="External"/><Relationship Id="rId2" Type="http://schemas.openxmlformats.org/officeDocument/2006/relationships/hyperlink" Target="mailto:hrhelp@yorku.ca" TargetMode="External"/><Relationship Id="rId1" Type="http://schemas.openxmlformats.org/officeDocument/2006/relationships/hyperlink" Target="https://hrselfserve.info.yorku.ca/" TargetMode="External"/><Relationship Id="rId6" Type="http://schemas.openxmlformats.org/officeDocument/2006/relationships/hyperlink" Target="https://thegatewayonline.ca/2020/09/university-of-sydney-staff-share-grim-experiences-with-academic-restructuring-amidst-u-of-as-similar-plans/" TargetMode="External"/><Relationship Id="rId5" Type="http://schemas.openxmlformats.org/officeDocument/2006/relationships/hyperlink" Target="https://www.queensjournal.ca/queens-hires-nous-group-to-assist-with-budget-cuts/" TargetMode="External"/><Relationship Id="rId4" Type="http://schemas.openxmlformats.org/officeDocument/2006/relationships/hyperlink" Target="https://www.theguardian.com/books/2022/oct/31/when-mckinsey-comes-to-town-the-hidden-influence-of-the-worlds-most-powerful-consulting-firm-review"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hrselfserve.info.yorku.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46096-1565-EE48-B2FF-6F6B805EB97C}">
  <dimension ref="A1:Q90"/>
  <sheetViews>
    <sheetView showGridLines="0" tabSelected="1" zoomScaleNormal="120" workbookViewId="0">
      <selection activeCell="B86" sqref="B86"/>
    </sheetView>
  </sheetViews>
  <sheetFormatPr baseColWidth="10" defaultRowHeight="16"/>
  <cols>
    <col min="1" max="1" width="5.33203125" customWidth="1"/>
    <col min="2" max="2" width="12.5" style="3" customWidth="1"/>
    <col min="3" max="3" width="33.5" customWidth="1"/>
    <col min="4" max="5" width="12.6640625" customWidth="1"/>
    <col min="6" max="6" width="14.1640625" customWidth="1"/>
    <col min="7" max="10" width="12.6640625" customWidth="1"/>
    <col min="11" max="16" width="14.6640625" customWidth="1"/>
    <col min="17" max="17" width="13.33203125" customWidth="1"/>
    <col min="18" max="19" width="9.33203125" customWidth="1"/>
    <col min="20" max="20" width="11" customWidth="1"/>
  </cols>
  <sheetData>
    <row r="1" spans="1:17" ht="52" customHeight="1">
      <c r="B1" s="117" t="s">
        <v>54</v>
      </c>
      <c r="C1" s="117"/>
      <c r="D1" s="117"/>
      <c r="E1" s="117"/>
      <c r="F1" s="117"/>
      <c r="G1" s="117"/>
      <c r="H1" s="117"/>
      <c r="I1" s="117"/>
      <c r="J1" s="117"/>
      <c r="K1" s="117"/>
      <c r="L1" s="117"/>
      <c r="M1" s="117"/>
      <c r="N1" s="117"/>
    </row>
    <row r="2" spans="1:17">
      <c r="A2" s="109" t="s">
        <v>107</v>
      </c>
      <c r="B2" s="109"/>
      <c r="C2" s="109"/>
      <c r="D2" s="109"/>
      <c r="E2" s="109"/>
      <c r="F2" s="109"/>
      <c r="G2" s="109"/>
      <c r="H2" s="109"/>
      <c r="I2" s="109"/>
      <c r="J2" s="109"/>
      <c r="K2" s="109"/>
      <c r="L2" s="109"/>
      <c r="M2" s="109"/>
      <c r="N2" s="109"/>
    </row>
    <row r="3" spans="1:17" ht="36" customHeight="1" thickBot="1"/>
    <row r="4" spans="1:17" ht="31" customHeight="1">
      <c r="B4" s="13" t="s">
        <v>44</v>
      </c>
      <c r="C4" s="120" t="s">
        <v>43</v>
      </c>
      <c r="D4" s="120"/>
      <c r="E4" s="120"/>
      <c r="F4" s="121"/>
    </row>
    <row r="5" spans="1:17" ht="26" customHeight="1" thickBot="1">
      <c r="B5" s="15"/>
      <c r="C5" s="118" t="s">
        <v>50</v>
      </c>
      <c r="D5" s="118"/>
      <c r="E5" s="118"/>
      <c r="F5" s="119"/>
    </row>
    <row r="6" spans="1:17" ht="25" customHeight="1"/>
    <row r="7" spans="1:17" ht="29">
      <c r="B7" s="107" t="s">
        <v>109</v>
      </c>
      <c r="C7" s="107"/>
      <c r="D7" s="107"/>
      <c r="E7" s="107"/>
      <c r="F7" s="107"/>
      <c r="G7" s="107"/>
      <c r="H7" s="107"/>
      <c r="I7" s="107"/>
      <c r="J7" s="107"/>
      <c r="K7" s="107"/>
      <c r="L7" s="107"/>
      <c r="M7" s="107"/>
      <c r="N7" s="107"/>
      <c r="O7" s="107"/>
      <c r="P7" s="107"/>
      <c r="Q7" s="107"/>
    </row>
    <row r="8" spans="1:17" ht="17" thickBot="1"/>
    <row r="9" spans="1:17" ht="34" customHeight="1">
      <c r="B9" s="70"/>
      <c r="C9" s="71"/>
      <c r="D9" s="128" t="s">
        <v>45</v>
      </c>
      <c r="E9" s="129"/>
      <c r="F9" s="129"/>
      <c r="G9" s="129"/>
      <c r="H9" s="130"/>
      <c r="I9" s="71"/>
      <c r="J9" s="71"/>
      <c r="K9" s="71"/>
      <c r="L9" s="71"/>
      <c r="M9" s="71"/>
      <c r="N9" s="71"/>
    </row>
    <row r="10" spans="1:17">
      <c r="B10" s="70"/>
      <c r="C10" s="71"/>
      <c r="D10" s="122" t="s">
        <v>46</v>
      </c>
      <c r="E10" s="123"/>
      <c r="F10" s="123"/>
      <c r="G10" s="123"/>
      <c r="H10" s="124"/>
      <c r="I10" s="70"/>
      <c r="J10" s="70"/>
      <c r="K10" s="70"/>
      <c r="L10" s="70"/>
      <c r="M10" s="70"/>
      <c r="N10" s="70"/>
      <c r="O10" s="3"/>
    </row>
    <row r="11" spans="1:17" ht="14" customHeight="1" thickBot="1">
      <c r="B11" s="72"/>
      <c r="C11" s="73"/>
      <c r="D11" s="125"/>
      <c r="E11" s="126"/>
      <c r="F11" s="126"/>
      <c r="G11" s="126"/>
      <c r="H11" s="127"/>
      <c r="I11" s="72"/>
      <c r="J11" s="72"/>
      <c r="K11" s="72"/>
      <c r="L11" s="72"/>
      <c r="M11" s="72"/>
      <c r="N11" s="72"/>
      <c r="O11" s="5"/>
    </row>
    <row r="12" spans="1:17" ht="52" thickBot="1">
      <c r="B12" s="72" t="s">
        <v>51</v>
      </c>
      <c r="C12" s="73" t="s">
        <v>16</v>
      </c>
      <c r="D12" s="74" t="s">
        <v>144</v>
      </c>
      <c r="E12" s="99" t="s">
        <v>17</v>
      </c>
      <c r="F12" s="75" t="s">
        <v>11</v>
      </c>
      <c r="G12" s="75" t="s">
        <v>20</v>
      </c>
      <c r="H12" s="75" t="s">
        <v>21</v>
      </c>
      <c r="I12" s="100" t="s">
        <v>19</v>
      </c>
      <c r="J12" s="72" t="s">
        <v>22</v>
      </c>
      <c r="K12" s="72" t="s">
        <v>145</v>
      </c>
      <c r="L12" s="72" t="s">
        <v>32</v>
      </c>
      <c r="M12" s="72" t="s">
        <v>146</v>
      </c>
      <c r="N12" s="72" t="s">
        <v>30</v>
      </c>
      <c r="O12" s="72" t="s">
        <v>31</v>
      </c>
      <c r="P12" s="72" t="s">
        <v>137</v>
      </c>
      <c r="Q12" s="72" t="s">
        <v>29</v>
      </c>
    </row>
    <row r="13" spans="1:17" s="12" customFormat="1" ht="20" customHeight="1">
      <c r="B13" s="76" t="s">
        <v>0</v>
      </c>
      <c r="C13" s="21" t="s">
        <v>10</v>
      </c>
      <c r="D13" s="77"/>
      <c r="E13" s="77"/>
      <c r="F13" s="77"/>
      <c r="G13" s="77"/>
      <c r="H13" s="77"/>
      <c r="I13" s="77"/>
      <c r="J13" s="78">
        <v>22698.740369682</v>
      </c>
      <c r="K13" s="78">
        <f>D13*J13</f>
        <v>0</v>
      </c>
      <c r="L13" s="23">
        <f t="shared" ref="L13:L30" si="0">E13*J13</f>
        <v>0</v>
      </c>
      <c r="M13" s="78">
        <f t="shared" ref="M13:M30" si="1">F13*J13</f>
        <v>0</v>
      </c>
      <c r="N13" s="78">
        <f t="shared" ref="N13:N30" si="2">(G13*J13/2)+(I13*J13/4)</f>
        <v>0</v>
      </c>
      <c r="O13" s="78">
        <f t="shared" ref="O13:O30" si="3">(H13*J13/2)+(I13*J13/4)</f>
        <v>0</v>
      </c>
      <c r="P13" s="96">
        <f>(D13*'retro pay'!T61)+(E13*'retro pay'!S61)+(F13*'retro pay'!U61)</f>
        <v>0</v>
      </c>
      <c r="Q13" s="78">
        <f>SUM(D13:I13)*J13</f>
        <v>0</v>
      </c>
    </row>
    <row r="14" spans="1:17" s="12" customFormat="1" ht="20" customHeight="1">
      <c r="B14" s="76" t="s">
        <v>0</v>
      </c>
      <c r="C14" s="21" t="s">
        <v>9</v>
      </c>
      <c r="D14" s="22"/>
      <c r="E14" s="22"/>
      <c r="F14" s="22"/>
      <c r="G14" s="22"/>
      <c r="H14" s="22"/>
      <c r="I14" s="22"/>
      <c r="J14" s="78">
        <v>22698.740369682</v>
      </c>
      <c r="K14" s="78">
        <f t="shared" ref="K14:K30" si="4">D14*J14</f>
        <v>0</v>
      </c>
      <c r="L14" s="23">
        <f t="shared" si="0"/>
        <v>0</v>
      </c>
      <c r="M14" s="78">
        <f t="shared" si="1"/>
        <v>0</v>
      </c>
      <c r="N14" s="78">
        <f t="shared" si="2"/>
        <v>0</v>
      </c>
      <c r="O14" s="78">
        <f t="shared" si="3"/>
        <v>0</v>
      </c>
      <c r="P14" s="96">
        <f>(D14*'retro pay'!T62)+(E14*'retro pay'!S62)+(F14*'retro pay'!U62)</f>
        <v>0</v>
      </c>
      <c r="Q14" s="78">
        <f t="shared" ref="Q14:Q30" si="5">SUM(D14:I14)*J14</f>
        <v>0</v>
      </c>
    </row>
    <row r="15" spans="1:17" s="12" customFormat="1" ht="20" customHeight="1">
      <c r="B15" s="76" t="s">
        <v>0</v>
      </c>
      <c r="C15" s="21" t="s">
        <v>12</v>
      </c>
      <c r="D15" s="22"/>
      <c r="E15" s="22"/>
      <c r="F15" s="22"/>
      <c r="G15" s="22"/>
      <c r="H15" s="22"/>
      <c r="I15" s="22"/>
      <c r="J15" s="23">
        <v>20176.658106383999</v>
      </c>
      <c r="K15" s="78">
        <f t="shared" si="4"/>
        <v>0</v>
      </c>
      <c r="L15" s="23">
        <f t="shared" si="0"/>
        <v>0</v>
      </c>
      <c r="M15" s="78">
        <f t="shared" si="1"/>
        <v>0</v>
      </c>
      <c r="N15" s="78">
        <f t="shared" si="2"/>
        <v>0</v>
      </c>
      <c r="O15" s="78">
        <f t="shared" si="3"/>
        <v>0</v>
      </c>
      <c r="P15" s="96">
        <f>(D15*'retro pay'!T63)+(E15*'retro pay'!S63)+(F15*'retro pay'!U63)</f>
        <v>0</v>
      </c>
      <c r="Q15" s="78">
        <f t="shared" si="5"/>
        <v>0</v>
      </c>
    </row>
    <row r="16" spans="1:17" s="12" customFormat="1" ht="20" customHeight="1">
      <c r="B16" s="76" t="s">
        <v>0</v>
      </c>
      <c r="C16" s="21" t="s">
        <v>1</v>
      </c>
      <c r="D16" s="22"/>
      <c r="E16" s="22"/>
      <c r="F16" s="22"/>
      <c r="G16" s="22"/>
      <c r="H16" s="22"/>
      <c r="I16" s="22"/>
      <c r="J16" s="23">
        <v>20176.658106383999</v>
      </c>
      <c r="K16" s="78">
        <f t="shared" si="4"/>
        <v>0</v>
      </c>
      <c r="L16" s="23">
        <f t="shared" si="0"/>
        <v>0</v>
      </c>
      <c r="M16" s="78">
        <f t="shared" si="1"/>
        <v>0</v>
      </c>
      <c r="N16" s="78">
        <f t="shared" si="2"/>
        <v>0</v>
      </c>
      <c r="O16" s="78">
        <f t="shared" si="3"/>
        <v>0</v>
      </c>
      <c r="P16" s="96">
        <f>(D16*'retro pay'!T64)+(E16*'retro pay'!S64)+(F16*'retro pay'!U64)</f>
        <v>0</v>
      </c>
      <c r="Q16" s="78">
        <f t="shared" si="5"/>
        <v>0</v>
      </c>
    </row>
    <row r="17" spans="2:17" s="12" customFormat="1" ht="20" customHeight="1">
      <c r="B17" s="76" t="s">
        <v>0</v>
      </c>
      <c r="C17" s="21" t="s">
        <v>7</v>
      </c>
      <c r="D17" s="22"/>
      <c r="E17" s="22"/>
      <c r="F17" s="22"/>
      <c r="G17" s="22"/>
      <c r="H17" s="22"/>
      <c r="I17" s="22"/>
      <c r="J17" s="23">
        <v>20176.658106383999</v>
      </c>
      <c r="K17" s="78">
        <f t="shared" si="4"/>
        <v>0</v>
      </c>
      <c r="L17" s="23">
        <f t="shared" si="0"/>
        <v>0</v>
      </c>
      <c r="M17" s="78">
        <f t="shared" si="1"/>
        <v>0</v>
      </c>
      <c r="N17" s="78">
        <f t="shared" si="2"/>
        <v>0</v>
      </c>
      <c r="O17" s="78">
        <f t="shared" si="3"/>
        <v>0</v>
      </c>
      <c r="P17" s="96">
        <f>(D17*'retro pay'!T65)+(E17*'retro pay'!S65)+(F17*'retro pay'!U65)</f>
        <v>0</v>
      </c>
      <c r="Q17" s="78">
        <f t="shared" si="5"/>
        <v>0</v>
      </c>
    </row>
    <row r="18" spans="2:17" s="12" customFormat="1" ht="20" customHeight="1">
      <c r="B18" s="76" t="s">
        <v>0</v>
      </c>
      <c r="C18" s="21" t="s">
        <v>8</v>
      </c>
      <c r="D18" s="22"/>
      <c r="E18" s="22"/>
      <c r="F18" s="22"/>
      <c r="G18" s="22"/>
      <c r="H18" s="22"/>
      <c r="I18" s="22"/>
      <c r="J18" s="23">
        <v>20176.658106383999</v>
      </c>
      <c r="K18" s="78">
        <f t="shared" si="4"/>
        <v>0</v>
      </c>
      <c r="L18" s="23">
        <f t="shared" si="0"/>
        <v>0</v>
      </c>
      <c r="M18" s="78">
        <f t="shared" si="1"/>
        <v>0</v>
      </c>
      <c r="N18" s="78">
        <f t="shared" si="2"/>
        <v>0</v>
      </c>
      <c r="O18" s="78">
        <f t="shared" si="3"/>
        <v>0</v>
      </c>
      <c r="P18" s="96">
        <f>(D18*'retro pay'!T66)+(E18*'retro pay'!S66)+(F18*'retro pay'!U66)</f>
        <v>0</v>
      </c>
      <c r="Q18" s="78">
        <f t="shared" si="5"/>
        <v>0</v>
      </c>
    </row>
    <row r="19" spans="2:17" s="12" customFormat="1" ht="20" customHeight="1">
      <c r="B19" s="76" t="s">
        <v>14</v>
      </c>
      <c r="C19" s="21" t="s">
        <v>13</v>
      </c>
      <c r="D19" s="22"/>
      <c r="E19" s="22"/>
      <c r="F19" s="22"/>
      <c r="G19" s="22"/>
      <c r="H19" s="22"/>
      <c r="I19" s="22"/>
      <c r="J19" s="23">
        <v>6745.4541198719999</v>
      </c>
      <c r="K19" s="78">
        <f t="shared" si="4"/>
        <v>0</v>
      </c>
      <c r="L19" s="23">
        <f t="shared" si="0"/>
        <v>0</v>
      </c>
      <c r="M19" s="78">
        <f t="shared" si="1"/>
        <v>0</v>
      </c>
      <c r="N19" s="78">
        <f t="shared" si="2"/>
        <v>0</v>
      </c>
      <c r="O19" s="78">
        <f t="shared" si="3"/>
        <v>0</v>
      </c>
      <c r="P19" s="96">
        <f>(D19*'retro pay'!T67)+(E19*'retro pay'!S67)+(F19*'retro pay'!U67)</f>
        <v>0</v>
      </c>
      <c r="Q19" s="78">
        <f t="shared" si="5"/>
        <v>0</v>
      </c>
    </row>
    <row r="20" spans="2:17" s="12" customFormat="1" ht="20" customHeight="1">
      <c r="B20" s="76" t="s">
        <v>14</v>
      </c>
      <c r="C20" s="21" t="s">
        <v>2</v>
      </c>
      <c r="D20" s="22"/>
      <c r="E20" s="22"/>
      <c r="F20" s="22"/>
      <c r="G20" s="22"/>
      <c r="H20" s="22"/>
      <c r="I20" s="22"/>
      <c r="J20" s="23">
        <v>7236.6060898559999</v>
      </c>
      <c r="K20" s="78">
        <f t="shared" si="4"/>
        <v>0</v>
      </c>
      <c r="L20" s="23">
        <f t="shared" si="0"/>
        <v>0</v>
      </c>
      <c r="M20" s="78">
        <f t="shared" si="1"/>
        <v>0</v>
      </c>
      <c r="N20" s="78">
        <f t="shared" si="2"/>
        <v>0</v>
      </c>
      <c r="O20" s="78">
        <f t="shared" si="3"/>
        <v>0</v>
      </c>
      <c r="P20" s="96">
        <f>(D20*'retro pay'!T68)+(E20*'retro pay'!S68)+(F20*'retro pay'!U68)</f>
        <v>0</v>
      </c>
      <c r="Q20" s="78">
        <f t="shared" si="5"/>
        <v>0</v>
      </c>
    </row>
    <row r="21" spans="2:17" s="12" customFormat="1" ht="20" customHeight="1">
      <c r="B21" s="76" t="s">
        <v>15</v>
      </c>
      <c r="C21" s="21" t="s">
        <v>23</v>
      </c>
      <c r="D21" s="22"/>
      <c r="E21" s="22"/>
      <c r="F21" s="22"/>
      <c r="G21" s="22"/>
      <c r="H21" s="22"/>
      <c r="I21" s="22"/>
      <c r="J21" s="23">
        <v>43.437660464640004</v>
      </c>
      <c r="K21" s="78">
        <f t="shared" si="4"/>
        <v>0</v>
      </c>
      <c r="L21" s="23">
        <f t="shared" si="0"/>
        <v>0</v>
      </c>
      <c r="M21" s="78">
        <f t="shared" si="1"/>
        <v>0</v>
      </c>
      <c r="N21" s="78">
        <f t="shared" si="2"/>
        <v>0</v>
      </c>
      <c r="O21" s="78">
        <f t="shared" si="3"/>
        <v>0</v>
      </c>
      <c r="P21" s="96">
        <f>(D21*'retro pay'!T69)+(E21*'retro pay'!S69)+(F21*'retro pay'!U69)</f>
        <v>0</v>
      </c>
      <c r="Q21" s="78">
        <f t="shared" si="5"/>
        <v>0</v>
      </c>
    </row>
    <row r="22" spans="2:17" s="12" customFormat="1" ht="20" customHeight="1">
      <c r="B22" s="76" t="s">
        <v>15</v>
      </c>
      <c r="C22" s="21" t="s">
        <v>24</v>
      </c>
      <c r="D22" s="22"/>
      <c r="E22" s="22"/>
      <c r="F22" s="22"/>
      <c r="G22" s="22"/>
      <c r="H22" s="22"/>
      <c r="I22" s="22"/>
      <c r="J22" s="23">
        <v>43.437660464640004</v>
      </c>
      <c r="K22" s="78">
        <f t="shared" si="4"/>
        <v>0</v>
      </c>
      <c r="L22" s="23">
        <f t="shared" si="0"/>
        <v>0</v>
      </c>
      <c r="M22" s="78">
        <f t="shared" si="1"/>
        <v>0</v>
      </c>
      <c r="N22" s="78">
        <f t="shared" si="2"/>
        <v>0</v>
      </c>
      <c r="O22" s="78">
        <f t="shared" si="3"/>
        <v>0</v>
      </c>
      <c r="P22" s="96">
        <f>(D22*'retro pay'!T70)+(E22*'retro pay'!S70)+(F22*'retro pay'!U70)</f>
        <v>0</v>
      </c>
      <c r="Q22" s="78">
        <f t="shared" si="5"/>
        <v>0</v>
      </c>
    </row>
    <row r="23" spans="2:17" s="12" customFormat="1" ht="20" customHeight="1">
      <c r="B23" s="76" t="s">
        <v>14</v>
      </c>
      <c r="C23" s="21" t="s">
        <v>3</v>
      </c>
      <c r="D23" s="22"/>
      <c r="E23" s="22"/>
      <c r="F23" s="22"/>
      <c r="G23" s="22"/>
      <c r="H23" s="22"/>
      <c r="I23" s="22"/>
      <c r="J23" s="23">
        <v>6745.4541198719999</v>
      </c>
      <c r="K23" s="78">
        <f t="shared" si="4"/>
        <v>0</v>
      </c>
      <c r="L23" s="23">
        <f t="shared" si="0"/>
        <v>0</v>
      </c>
      <c r="M23" s="78">
        <f t="shared" si="1"/>
        <v>0</v>
      </c>
      <c r="N23" s="78">
        <f t="shared" si="2"/>
        <v>0</v>
      </c>
      <c r="O23" s="78">
        <f t="shared" si="3"/>
        <v>0</v>
      </c>
      <c r="P23" s="96">
        <f>(D23*'retro pay'!T71)+(E23*'retro pay'!S71)+(F23*'retro pay'!U71)</f>
        <v>0</v>
      </c>
      <c r="Q23" s="78">
        <f t="shared" si="5"/>
        <v>0</v>
      </c>
    </row>
    <row r="24" spans="2:17" s="12" customFormat="1" ht="20" customHeight="1">
      <c r="B24" s="76" t="s">
        <v>14</v>
      </c>
      <c r="C24" s="21" t="s">
        <v>4</v>
      </c>
      <c r="D24" s="22"/>
      <c r="E24" s="22"/>
      <c r="F24" s="22"/>
      <c r="G24" s="22"/>
      <c r="H24" s="22"/>
      <c r="I24" s="22"/>
      <c r="J24" s="23">
        <v>8435.1971358720002</v>
      </c>
      <c r="K24" s="78">
        <f t="shared" si="4"/>
        <v>0</v>
      </c>
      <c r="L24" s="23">
        <f t="shared" si="0"/>
        <v>0</v>
      </c>
      <c r="M24" s="78">
        <f t="shared" si="1"/>
        <v>0</v>
      </c>
      <c r="N24" s="78">
        <f t="shared" si="2"/>
        <v>0</v>
      </c>
      <c r="O24" s="78">
        <f t="shared" si="3"/>
        <v>0</v>
      </c>
      <c r="P24" s="96">
        <f>(D24*'retro pay'!T72)+(E24*'retro pay'!S72)+(F24*'retro pay'!U72)</f>
        <v>0</v>
      </c>
      <c r="Q24" s="78">
        <f t="shared" si="5"/>
        <v>0</v>
      </c>
    </row>
    <row r="25" spans="2:17" s="12" customFormat="1" ht="20" customHeight="1">
      <c r="B25" s="76"/>
      <c r="C25" s="21" t="s">
        <v>5</v>
      </c>
      <c r="D25" s="22"/>
      <c r="E25" s="22"/>
      <c r="F25" s="22"/>
      <c r="G25" s="22"/>
      <c r="H25" s="22"/>
      <c r="I25" s="22"/>
      <c r="J25" s="23">
        <v>6745.4541198719999</v>
      </c>
      <c r="K25" s="78">
        <f t="shared" si="4"/>
        <v>0</v>
      </c>
      <c r="L25" s="23">
        <f t="shared" si="0"/>
        <v>0</v>
      </c>
      <c r="M25" s="78">
        <f t="shared" si="1"/>
        <v>0</v>
      </c>
      <c r="N25" s="78">
        <f t="shared" si="2"/>
        <v>0</v>
      </c>
      <c r="O25" s="78">
        <f t="shared" si="3"/>
        <v>0</v>
      </c>
      <c r="P25" s="96">
        <f>(D25*'retro pay'!T73)+(E25*'retro pay'!S73)+(F25*'retro pay'!U73)</f>
        <v>0</v>
      </c>
      <c r="Q25" s="78">
        <f t="shared" si="5"/>
        <v>0</v>
      </c>
    </row>
    <row r="26" spans="2:17" s="12" customFormat="1" ht="20" customHeight="1">
      <c r="B26" s="76" t="s">
        <v>14</v>
      </c>
      <c r="C26" s="21" t="s">
        <v>25</v>
      </c>
      <c r="D26" s="22"/>
      <c r="E26" s="22"/>
      <c r="F26" s="22"/>
      <c r="G26" s="22"/>
      <c r="H26" s="22"/>
      <c r="I26" s="22"/>
      <c r="J26" s="23">
        <v>87.247064392800013</v>
      </c>
      <c r="K26" s="78">
        <f t="shared" si="4"/>
        <v>0</v>
      </c>
      <c r="L26" s="23">
        <f t="shared" si="0"/>
        <v>0</v>
      </c>
      <c r="M26" s="78">
        <f t="shared" si="1"/>
        <v>0</v>
      </c>
      <c r="N26" s="78">
        <f t="shared" si="2"/>
        <v>0</v>
      </c>
      <c r="O26" s="78">
        <f t="shared" si="3"/>
        <v>0</v>
      </c>
      <c r="P26" s="96">
        <f>(D26*'retro pay'!T74)+(E26*'retro pay'!S74)+(F26*'retro pay'!U74)</f>
        <v>0</v>
      </c>
      <c r="Q26" s="78">
        <f t="shared" si="5"/>
        <v>0</v>
      </c>
    </row>
    <row r="27" spans="2:17" s="12" customFormat="1" ht="20" customHeight="1">
      <c r="B27" s="76" t="s">
        <v>14</v>
      </c>
      <c r="C27" s="21" t="s">
        <v>6</v>
      </c>
      <c r="D27" s="22"/>
      <c r="E27" s="22"/>
      <c r="F27" s="22"/>
      <c r="G27" s="22"/>
      <c r="H27" s="22"/>
      <c r="I27" s="22"/>
      <c r="J27" s="23">
        <v>6745.4541198719999</v>
      </c>
      <c r="K27" s="78">
        <f t="shared" si="4"/>
        <v>0</v>
      </c>
      <c r="L27" s="23">
        <f t="shared" si="0"/>
        <v>0</v>
      </c>
      <c r="M27" s="78">
        <f t="shared" si="1"/>
        <v>0</v>
      </c>
      <c r="N27" s="78">
        <f t="shared" si="2"/>
        <v>0</v>
      </c>
      <c r="O27" s="78">
        <f t="shared" si="3"/>
        <v>0</v>
      </c>
      <c r="P27" s="96">
        <f>(D27*'retro pay'!T75)+(E27*'retro pay'!S75)+(F27*'retro pay'!U75)</f>
        <v>0</v>
      </c>
      <c r="Q27" s="78">
        <f t="shared" si="5"/>
        <v>0</v>
      </c>
    </row>
    <row r="28" spans="2:17" s="12" customFormat="1" ht="20" customHeight="1">
      <c r="B28" s="76" t="s">
        <v>15</v>
      </c>
      <c r="C28" s="21" t="s">
        <v>26</v>
      </c>
      <c r="D28" s="22"/>
      <c r="E28" s="22"/>
      <c r="F28" s="22"/>
      <c r="G28" s="22"/>
      <c r="H28" s="22"/>
      <c r="I28" s="22"/>
      <c r="J28" s="23">
        <v>50.579640945600005</v>
      </c>
      <c r="K28" s="78">
        <f t="shared" si="4"/>
        <v>0</v>
      </c>
      <c r="L28" s="23">
        <f t="shared" si="0"/>
        <v>0</v>
      </c>
      <c r="M28" s="78">
        <f t="shared" si="1"/>
        <v>0</v>
      </c>
      <c r="N28" s="78">
        <f t="shared" si="2"/>
        <v>0</v>
      </c>
      <c r="O28" s="78">
        <f t="shared" si="3"/>
        <v>0</v>
      </c>
      <c r="P28" s="96">
        <f>(D28*'retro pay'!T76)+(E28*'retro pay'!S76)+(F28*'retro pay'!U76)</f>
        <v>0</v>
      </c>
      <c r="Q28" s="78">
        <f t="shared" si="5"/>
        <v>0</v>
      </c>
    </row>
    <row r="29" spans="2:17" s="12" customFormat="1" ht="20" customHeight="1">
      <c r="B29" s="76" t="s">
        <v>15</v>
      </c>
      <c r="C29" s="21" t="s">
        <v>27</v>
      </c>
      <c r="D29" s="22"/>
      <c r="E29" s="22"/>
      <c r="F29" s="22"/>
      <c r="G29" s="22"/>
      <c r="H29" s="22"/>
      <c r="I29" s="22"/>
      <c r="J29" s="23">
        <v>25.346145239999998</v>
      </c>
      <c r="K29" s="78">
        <f t="shared" si="4"/>
        <v>0</v>
      </c>
      <c r="L29" s="23">
        <f t="shared" si="0"/>
        <v>0</v>
      </c>
      <c r="M29" s="78">
        <f t="shared" si="1"/>
        <v>0</v>
      </c>
      <c r="N29" s="78">
        <f t="shared" si="2"/>
        <v>0</v>
      </c>
      <c r="O29" s="78">
        <f t="shared" si="3"/>
        <v>0</v>
      </c>
      <c r="P29" s="96">
        <f>(D29*'retro pay'!T77)+(E29*'retro pay'!S77)+(F29*'retro pay'!U77)</f>
        <v>0</v>
      </c>
      <c r="Q29" s="78">
        <f t="shared" si="5"/>
        <v>0</v>
      </c>
    </row>
    <row r="30" spans="2:17" s="12" customFormat="1" ht="20" customHeight="1">
      <c r="B30" s="76"/>
      <c r="C30" s="21" t="s">
        <v>28</v>
      </c>
      <c r="D30" s="22"/>
      <c r="E30" s="22"/>
      <c r="F30" s="22"/>
      <c r="G30" s="22"/>
      <c r="H30" s="22"/>
      <c r="I30" s="22"/>
      <c r="J30" s="23">
        <v>50.284543341759992</v>
      </c>
      <c r="K30" s="78">
        <f t="shared" si="4"/>
        <v>0</v>
      </c>
      <c r="L30" s="23">
        <f t="shared" si="0"/>
        <v>0</v>
      </c>
      <c r="M30" s="78">
        <f t="shared" si="1"/>
        <v>0</v>
      </c>
      <c r="N30" s="78">
        <f t="shared" si="2"/>
        <v>0</v>
      </c>
      <c r="O30" s="78">
        <f t="shared" si="3"/>
        <v>0</v>
      </c>
      <c r="P30" s="96">
        <f>(D30*'retro pay'!T78)+(E30*'retro pay'!S78)+(F30*'retro pay'!U78)</f>
        <v>0</v>
      </c>
      <c r="Q30" s="78">
        <f t="shared" si="5"/>
        <v>0</v>
      </c>
    </row>
    <row r="31" spans="2:17" s="12" customFormat="1" ht="20" customHeight="1">
      <c r="B31" s="79"/>
      <c r="C31" s="9"/>
      <c r="D31" s="1"/>
      <c r="E31" s="1"/>
      <c r="F31" s="1"/>
      <c r="G31" s="1"/>
      <c r="H31" s="1"/>
      <c r="I31" s="6" t="s">
        <v>18</v>
      </c>
      <c r="J31" s="8">
        <f t="shared" ref="J31:O31" si="6">SUM(L13:L30)</f>
        <v>0</v>
      </c>
      <c r="K31" s="8">
        <f>SUM(K13:K30)</f>
        <v>0</v>
      </c>
      <c r="L31" s="8">
        <f t="shared" ref="L31:Q31" si="7">SUM(L13:L30)</f>
        <v>0</v>
      </c>
      <c r="M31" s="8">
        <f t="shared" si="7"/>
        <v>0</v>
      </c>
      <c r="N31" s="8">
        <f t="shared" si="7"/>
        <v>0</v>
      </c>
      <c r="O31" s="8">
        <f t="shared" si="7"/>
        <v>0</v>
      </c>
      <c r="P31" s="8">
        <f t="shared" si="7"/>
        <v>0</v>
      </c>
      <c r="Q31" s="8">
        <f t="shared" si="7"/>
        <v>0</v>
      </c>
    </row>
    <row r="32" spans="2:17">
      <c r="B32" s="80"/>
      <c r="C32" s="1" t="s">
        <v>56</v>
      </c>
      <c r="D32" s="1"/>
      <c r="E32" s="1"/>
      <c r="F32" s="1"/>
      <c r="G32" s="1"/>
      <c r="H32" s="1"/>
      <c r="I32" s="6"/>
      <c r="J32" s="2"/>
      <c r="K32" s="2"/>
      <c r="L32" s="2"/>
      <c r="M32" s="2"/>
      <c r="N32" s="2"/>
      <c r="O32" s="2"/>
    </row>
    <row r="33" spans="2:17" ht="16" customHeight="1">
      <c r="B33" s="7"/>
      <c r="F33" s="1"/>
      <c r="G33" s="2"/>
      <c r="H33" s="11"/>
      <c r="I33" s="11"/>
      <c r="Q33" s="2"/>
    </row>
    <row r="34" spans="2:17" ht="27" customHeight="1">
      <c r="B34" s="108" t="s">
        <v>110</v>
      </c>
      <c r="C34" s="108"/>
      <c r="D34" s="108"/>
      <c r="E34" s="108"/>
      <c r="F34" s="108"/>
      <c r="G34" s="108"/>
      <c r="H34" s="108"/>
      <c r="I34" s="108"/>
      <c r="J34" s="108"/>
      <c r="K34" s="108"/>
      <c r="L34" s="108"/>
      <c r="M34" s="108"/>
      <c r="N34" s="108"/>
      <c r="O34" s="108"/>
      <c r="P34" s="108"/>
      <c r="Q34" s="108"/>
    </row>
    <row r="35" spans="2:17" ht="17" thickBot="1">
      <c r="B35" s="7"/>
      <c r="F35" s="1"/>
      <c r="G35" s="2"/>
      <c r="H35" s="6"/>
      <c r="I35" s="6"/>
      <c r="J35" s="10"/>
      <c r="Q35" s="2"/>
    </row>
    <row r="36" spans="2:17" s="12" customFormat="1" ht="20" customHeight="1">
      <c r="B36" s="14"/>
      <c r="C36" s="30" t="s">
        <v>42</v>
      </c>
      <c r="D36" s="31"/>
      <c r="E36" s="32">
        <f>(L31/8)+(M31/4)</f>
        <v>0</v>
      </c>
      <c r="F36" s="1"/>
      <c r="G36" s="1"/>
      <c r="I36" s="135"/>
      <c r="J36" s="135"/>
      <c r="K36" s="135"/>
      <c r="N36" s="131" t="s">
        <v>47</v>
      </c>
      <c r="O36" s="101" t="s">
        <v>83</v>
      </c>
      <c r="P36" s="102"/>
      <c r="Q36" s="2"/>
    </row>
    <row r="37" spans="2:17" s="12" customFormat="1" ht="20" customHeight="1">
      <c r="B37" s="14"/>
      <c r="C37" s="24" t="s">
        <v>55</v>
      </c>
      <c r="D37" s="31"/>
      <c r="E37" s="32">
        <f>E36*2</f>
        <v>0</v>
      </c>
      <c r="F37" s="12" t="s">
        <v>33</v>
      </c>
      <c r="H37" s="1"/>
      <c r="I37" s="135"/>
      <c r="J37" s="135"/>
      <c r="K37" s="135"/>
      <c r="N37" s="132"/>
      <c r="O37" s="103"/>
      <c r="P37" s="104"/>
      <c r="Q37" s="2"/>
    </row>
    <row r="38" spans="2:17" ht="16" customHeight="1">
      <c r="N38" s="132"/>
      <c r="O38" s="103"/>
      <c r="P38" s="104"/>
    </row>
    <row r="39" spans="2:17" ht="23" customHeight="1" thickBot="1">
      <c r="N39" s="133"/>
      <c r="O39" s="105"/>
      <c r="P39" s="106"/>
    </row>
    <row r="40" spans="2:17" ht="29" customHeight="1">
      <c r="D40" s="87" t="s">
        <v>75</v>
      </c>
      <c r="J40" s="87" t="s">
        <v>76</v>
      </c>
      <c r="N40" s="65"/>
      <c r="O40" s="5"/>
      <c r="P40" s="5"/>
    </row>
    <row r="41" spans="2:17" ht="17" customHeight="1">
      <c r="P41" s="5"/>
    </row>
    <row r="42" spans="2:17" s="12" customFormat="1" ht="20" customHeight="1">
      <c r="B42" s="4"/>
      <c r="C42" s="16" t="s">
        <v>106</v>
      </c>
      <c r="I42" s="16" t="s">
        <v>106</v>
      </c>
    </row>
    <row r="43" spans="2:17" s="12" customFormat="1" ht="20" customHeight="1">
      <c r="B43" s="4"/>
      <c r="C43" s="30" t="s">
        <v>53</v>
      </c>
      <c r="D43" s="33"/>
      <c r="E43" s="31"/>
      <c r="F43" s="32">
        <f>((L31+M31)*0.9)-((L31*0.75)+(M31*0.5))</f>
        <v>0</v>
      </c>
      <c r="I43" s="34" t="s">
        <v>36</v>
      </c>
      <c r="J43" s="33"/>
      <c r="K43" s="33"/>
      <c r="L43" s="31"/>
      <c r="M43" s="32">
        <f>(L31+M31)*0.1</f>
        <v>0</v>
      </c>
    </row>
    <row r="44" spans="2:17" s="12" customFormat="1" ht="20" customHeight="1">
      <c r="B44" s="4"/>
      <c r="C44" s="30" t="s">
        <v>35</v>
      </c>
      <c r="D44" s="33"/>
      <c r="E44" s="31"/>
      <c r="F44" s="25">
        <f>N31</f>
        <v>0</v>
      </c>
      <c r="I44" s="30" t="s">
        <v>34</v>
      </c>
      <c r="J44" s="33"/>
      <c r="K44" s="33"/>
      <c r="L44" s="31"/>
      <c r="M44" s="25">
        <f>N31</f>
        <v>0</v>
      </c>
    </row>
    <row r="45" spans="2:17" s="12" customFormat="1" ht="20" customHeight="1">
      <c r="B45" s="4"/>
      <c r="E45" s="35" t="s">
        <v>18</v>
      </c>
      <c r="F45" s="32">
        <f>SUM(F43:F44)</f>
        <v>0</v>
      </c>
      <c r="I45" s="30" t="s">
        <v>72</v>
      </c>
      <c r="J45" s="33"/>
      <c r="K45" s="33"/>
      <c r="L45" s="31"/>
      <c r="M45" s="25"/>
    </row>
    <row r="46" spans="2:17" s="12" customFormat="1" ht="20" customHeight="1">
      <c r="B46" s="4"/>
      <c r="L46" s="35" t="s">
        <v>18</v>
      </c>
      <c r="M46" s="32">
        <f>SUM(M43:M44)</f>
        <v>0</v>
      </c>
    </row>
    <row r="47" spans="2:17" s="12" customFormat="1" ht="20" customHeight="1">
      <c r="B47" s="4"/>
      <c r="C47" s="16" t="s">
        <v>41</v>
      </c>
      <c r="I47" s="16" t="s">
        <v>41</v>
      </c>
    </row>
    <row r="48" spans="2:17" s="12" customFormat="1" ht="20" customHeight="1">
      <c r="B48" s="4"/>
      <c r="C48" s="30" t="s">
        <v>39</v>
      </c>
      <c r="D48" s="33"/>
      <c r="E48" s="31"/>
      <c r="F48" s="32">
        <f>(E36*2)*0.9</f>
        <v>0</v>
      </c>
      <c r="I48" s="30" t="s">
        <v>40</v>
      </c>
      <c r="J48" s="33"/>
      <c r="K48" s="33"/>
      <c r="L48" s="31"/>
      <c r="M48" s="32">
        <f>(E36*2)*0.1</f>
        <v>0</v>
      </c>
    </row>
    <row r="49" spans="2:14" s="12" customFormat="1" ht="20" customHeight="1">
      <c r="B49" s="4"/>
      <c r="C49" s="30" t="s">
        <v>35</v>
      </c>
      <c r="D49" s="33"/>
      <c r="E49" s="31"/>
      <c r="F49" s="32">
        <f>N31</f>
        <v>0</v>
      </c>
      <c r="I49" s="30" t="s">
        <v>34</v>
      </c>
      <c r="J49" s="33"/>
      <c r="K49" s="33"/>
      <c r="L49" s="31"/>
      <c r="M49" s="32">
        <f>N31</f>
        <v>0</v>
      </c>
    </row>
    <row r="50" spans="2:14" s="12" customFormat="1" ht="20" customHeight="1">
      <c r="B50" s="4"/>
      <c r="E50" s="35" t="s">
        <v>37</v>
      </c>
      <c r="F50" s="32">
        <f>SUM(F48:F49)</f>
        <v>0</v>
      </c>
      <c r="I50" s="30" t="s">
        <v>143</v>
      </c>
      <c r="J50" s="33"/>
      <c r="K50" s="33"/>
      <c r="L50" s="31"/>
      <c r="M50" s="32">
        <f>('retro pay'!D38)+P31</f>
        <v>0</v>
      </c>
      <c r="N50" s="63"/>
    </row>
    <row r="51" spans="2:14" s="12" customFormat="1" ht="20" customHeight="1">
      <c r="B51" s="4"/>
      <c r="L51" s="20" t="s">
        <v>38</v>
      </c>
      <c r="M51" s="32">
        <f>SUM(M48:M50)</f>
        <v>0</v>
      </c>
    </row>
    <row r="52" spans="2:14" ht="17" thickBot="1"/>
    <row r="53" spans="2:14" ht="30" thickBot="1">
      <c r="B53" s="17" t="s">
        <v>73</v>
      </c>
      <c r="C53" s="18" t="s">
        <v>52</v>
      </c>
      <c r="I53" s="17" t="s">
        <v>73</v>
      </c>
      <c r="J53" s="38" t="s">
        <v>90</v>
      </c>
      <c r="K53" s="19"/>
      <c r="L53" s="19"/>
    </row>
    <row r="54" spans="2:14" s="12" customFormat="1" ht="24" customHeight="1" thickBot="1">
      <c r="B54" s="4"/>
      <c r="C54" s="116" t="s">
        <v>48</v>
      </c>
      <c r="D54" s="116"/>
      <c r="E54" s="116"/>
      <c r="F54" s="36"/>
      <c r="J54" s="116" t="s">
        <v>98</v>
      </c>
      <c r="K54" s="116"/>
      <c r="L54" s="134"/>
      <c r="M54" s="36"/>
    </row>
    <row r="55" spans="2:14" s="12" customFormat="1" ht="24" customHeight="1" thickBot="1">
      <c r="B55" s="4"/>
      <c r="C55" s="9"/>
      <c r="D55" s="9"/>
      <c r="E55" s="81" t="s">
        <v>49</v>
      </c>
      <c r="F55" s="39">
        <f>F54-F50</f>
        <v>0</v>
      </c>
      <c r="K55" s="116" t="s">
        <v>95</v>
      </c>
      <c r="L55" s="134"/>
      <c r="M55" s="36"/>
    </row>
    <row r="56" spans="2:14" s="12" customFormat="1" ht="24" customHeight="1" thickBot="1">
      <c r="B56" s="4"/>
      <c r="D56" s="37"/>
      <c r="G56" s="113" t="s">
        <v>100</v>
      </c>
      <c r="H56" s="113"/>
      <c r="K56" s="116" t="s">
        <v>96</v>
      </c>
      <c r="L56" s="116"/>
      <c r="M56" s="36"/>
    </row>
    <row r="57" spans="2:14" ht="24" customHeight="1">
      <c r="G57" s="113"/>
      <c r="H57" s="113"/>
      <c r="J57" s="114" t="s">
        <v>80</v>
      </c>
      <c r="K57" s="114"/>
      <c r="L57" s="114"/>
      <c r="M57" s="40">
        <f>SUM(M54:M56)-M51+F55</f>
        <v>0</v>
      </c>
    </row>
    <row r="58" spans="2:14">
      <c r="G58" s="113"/>
      <c r="H58" s="113"/>
    </row>
    <row r="59" spans="2:14">
      <c r="G59" s="113"/>
      <c r="H59" s="113"/>
    </row>
    <row r="61" spans="2:14" ht="29" customHeight="1">
      <c r="D61" s="87" t="s">
        <v>77</v>
      </c>
      <c r="J61" s="87" t="s">
        <v>78</v>
      </c>
    </row>
    <row r="62" spans="2:14" ht="20" customHeight="1"/>
    <row r="63" spans="2:14" ht="20" customHeight="1">
      <c r="C63" s="30" t="s">
        <v>88</v>
      </c>
      <c r="D63" s="66"/>
      <c r="E63" s="67"/>
      <c r="F63" s="68">
        <f>O31</f>
        <v>0</v>
      </c>
      <c r="I63" s="30" t="s">
        <v>89</v>
      </c>
      <c r="J63" s="66"/>
      <c r="K63" s="66"/>
      <c r="L63" s="67"/>
      <c r="M63" s="68">
        <f>O31</f>
        <v>0</v>
      </c>
    </row>
    <row r="64" spans="2:14" ht="20" customHeight="1" thickBot="1"/>
    <row r="65" spans="2:17" ht="30" customHeight="1" thickBot="1">
      <c r="B65" s="17" t="s">
        <v>73</v>
      </c>
      <c r="C65" s="18" t="s">
        <v>91</v>
      </c>
      <c r="I65" s="17" t="s">
        <v>73</v>
      </c>
      <c r="J65" s="38" t="s">
        <v>92</v>
      </c>
      <c r="K65" s="19"/>
      <c r="L65" s="19"/>
    </row>
    <row r="66" spans="2:17" ht="24" customHeight="1" thickBot="1">
      <c r="B66" s="69"/>
      <c r="C66" s="82"/>
      <c r="D66" s="82"/>
      <c r="E66" s="83" t="s">
        <v>93</v>
      </c>
      <c r="F66" s="36"/>
      <c r="I66" s="69"/>
      <c r="J66" s="110" t="s">
        <v>93</v>
      </c>
      <c r="K66" s="110"/>
      <c r="L66" s="110"/>
      <c r="M66" s="86"/>
    </row>
    <row r="67" spans="2:17" ht="24" customHeight="1" thickBot="1">
      <c r="B67" s="69"/>
      <c r="C67" s="82"/>
      <c r="D67" s="82"/>
      <c r="E67" s="83" t="s">
        <v>97</v>
      </c>
      <c r="F67" s="36"/>
      <c r="I67" s="69"/>
      <c r="J67" s="83"/>
      <c r="K67" s="110" t="s">
        <v>97</v>
      </c>
      <c r="L67" s="111"/>
      <c r="M67" s="36"/>
    </row>
    <row r="68" spans="2:17" ht="24" customHeight="1" thickBot="1">
      <c r="B68" s="4"/>
      <c r="C68" s="116" t="s">
        <v>96</v>
      </c>
      <c r="D68" s="116"/>
      <c r="E68" s="116"/>
      <c r="F68" s="36"/>
      <c r="K68" s="116" t="s">
        <v>96</v>
      </c>
      <c r="L68" s="116"/>
      <c r="M68" s="36"/>
    </row>
    <row r="69" spans="2:17" ht="24" customHeight="1">
      <c r="B69" s="4"/>
      <c r="C69" s="114" t="s">
        <v>81</v>
      </c>
      <c r="D69" s="114"/>
      <c r="E69" s="114"/>
      <c r="F69" s="39">
        <f>SUM(F66:F68)-F63+M57</f>
        <v>0</v>
      </c>
      <c r="J69" s="114" t="s">
        <v>82</v>
      </c>
      <c r="K69" s="114"/>
      <c r="L69" s="114"/>
      <c r="M69" s="40">
        <f>SUM(M66:M68)-M63+F69</f>
        <v>0</v>
      </c>
    </row>
    <row r="70" spans="2:17" ht="20" customHeight="1"/>
    <row r="71" spans="2:17" ht="20" customHeight="1"/>
    <row r="72" spans="2:17" ht="27" customHeight="1">
      <c r="B72" s="108" t="s">
        <v>111</v>
      </c>
      <c r="C72" s="108"/>
      <c r="D72" s="108"/>
      <c r="E72" s="108"/>
      <c r="F72" s="108"/>
      <c r="G72" s="108"/>
      <c r="H72" s="108"/>
      <c r="I72" s="108"/>
      <c r="J72" s="108"/>
      <c r="K72" s="108"/>
      <c r="L72" s="108"/>
      <c r="M72" s="108"/>
      <c r="N72" s="108"/>
      <c r="O72" s="108"/>
      <c r="P72" s="108"/>
      <c r="Q72" s="108"/>
    </row>
    <row r="74" spans="2:17" ht="16" customHeight="1">
      <c r="B74" s="112" t="s">
        <v>86</v>
      </c>
      <c r="C74" s="112"/>
      <c r="D74" s="112"/>
      <c r="E74" s="112"/>
      <c r="F74" s="112"/>
      <c r="I74" s="71" t="s">
        <v>112</v>
      </c>
      <c r="J74" s="115" t="s">
        <v>115</v>
      </c>
      <c r="K74" s="115"/>
      <c r="L74" s="115"/>
      <c r="M74" s="115"/>
      <c r="N74" s="115"/>
    </row>
    <row r="75" spans="2:17">
      <c r="B75" s="112" t="s">
        <v>87</v>
      </c>
      <c r="C75" s="112"/>
      <c r="D75" s="112"/>
      <c r="E75" s="112"/>
      <c r="F75" s="112"/>
      <c r="J75" s="115"/>
      <c r="K75" s="115"/>
      <c r="L75" s="115"/>
      <c r="M75" s="115"/>
      <c r="N75" s="115"/>
    </row>
    <row r="76" spans="2:17">
      <c r="B76" s="84"/>
      <c r="C76" s="84"/>
      <c r="D76" s="84"/>
      <c r="E76" s="84"/>
      <c r="F76" s="84"/>
      <c r="J76" s="115"/>
      <c r="K76" s="115"/>
      <c r="L76" s="115"/>
      <c r="M76" s="115"/>
      <c r="N76" s="115"/>
    </row>
    <row r="77" spans="2:17">
      <c r="B77" s="112" t="s">
        <v>94</v>
      </c>
      <c r="C77" s="112"/>
      <c r="D77" s="112"/>
      <c r="E77" s="112"/>
      <c r="F77" s="112"/>
      <c r="J77" s="115"/>
      <c r="K77" s="115"/>
      <c r="L77" s="115"/>
      <c r="M77" s="115"/>
      <c r="N77" s="115"/>
    </row>
    <row r="78" spans="2:17">
      <c r="B78" s="112" t="s">
        <v>99</v>
      </c>
      <c r="C78" s="112"/>
      <c r="D78" s="112"/>
      <c r="E78" s="112"/>
      <c r="F78" s="112"/>
      <c r="J78" s="115"/>
      <c r="K78" s="115"/>
      <c r="L78" s="115"/>
      <c r="M78" s="115"/>
      <c r="N78" s="115"/>
    </row>
    <row r="79" spans="2:17">
      <c r="B79" s="43"/>
      <c r="C79" s="43"/>
      <c r="D79" s="43"/>
      <c r="E79" s="43"/>
      <c r="F79" s="43"/>
      <c r="J79" s="115"/>
      <c r="K79" s="115"/>
      <c r="L79" s="115"/>
      <c r="M79" s="115"/>
      <c r="N79" s="115"/>
    </row>
    <row r="80" spans="2:17" s="1" customFormat="1" ht="20" customHeight="1">
      <c r="B80" s="115" t="s">
        <v>85</v>
      </c>
      <c r="C80" s="115"/>
      <c r="D80" s="115"/>
      <c r="E80" s="115"/>
      <c r="F80" s="115"/>
      <c r="J80" s="115"/>
      <c r="K80" s="115"/>
      <c r="L80" s="115"/>
      <c r="M80" s="115"/>
      <c r="N80" s="115"/>
    </row>
    <row r="81" spans="2:14">
      <c r="B81" s="115"/>
      <c r="C81" s="115"/>
      <c r="D81" s="115"/>
      <c r="E81" s="115"/>
      <c r="F81" s="115"/>
      <c r="J81" s="115"/>
      <c r="K81" s="115"/>
      <c r="L81" s="115"/>
      <c r="M81" s="115"/>
      <c r="N81" s="115"/>
    </row>
    <row r="82" spans="2:14">
      <c r="J82" s="115"/>
      <c r="K82" s="115"/>
      <c r="L82" s="115"/>
      <c r="M82" s="115"/>
      <c r="N82" s="115"/>
    </row>
    <row r="83" spans="2:14">
      <c r="B83" s="84" t="s">
        <v>84</v>
      </c>
      <c r="C83" s="85" t="s">
        <v>79</v>
      </c>
      <c r="J83" s="115"/>
      <c r="K83" s="115"/>
      <c r="L83" s="115"/>
      <c r="M83" s="115"/>
      <c r="N83" s="115"/>
    </row>
    <row r="84" spans="2:14">
      <c r="J84" s="115"/>
      <c r="K84" s="115"/>
      <c r="L84" s="115"/>
      <c r="M84" s="115"/>
      <c r="N84" s="115"/>
    </row>
    <row r="85" spans="2:14">
      <c r="B85" s="43" t="s">
        <v>148</v>
      </c>
      <c r="C85" s="148" t="s">
        <v>149</v>
      </c>
      <c r="J85" s="115"/>
      <c r="K85" s="115"/>
      <c r="L85" s="115"/>
      <c r="M85" s="115"/>
      <c r="N85" s="115"/>
    </row>
    <row r="86" spans="2:14">
      <c r="J86" s="115"/>
      <c r="K86" s="115"/>
      <c r="L86" s="115"/>
      <c r="M86" s="115"/>
      <c r="N86" s="115"/>
    </row>
    <row r="87" spans="2:14" ht="24" customHeight="1">
      <c r="J87" s="115"/>
      <c r="K87" s="115"/>
      <c r="L87" s="115"/>
      <c r="M87" s="115"/>
      <c r="N87" s="115"/>
    </row>
    <row r="88" spans="2:14">
      <c r="J88" s="88" t="s">
        <v>113</v>
      </c>
    </row>
    <row r="89" spans="2:14">
      <c r="J89" s="88" t="s">
        <v>114</v>
      </c>
    </row>
    <row r="90" spans="2:14">
      <c r="J90" s="88" t="s">
        <v>116</v>
      </c>
    </row>
  </sheetData>
  <sheetProtection algorithmName="SHA-512" hashValue="bLWW9GAbl2CFoHjVMar0ZLHGE3zCUBenPbDKWappt5bNAJ/Hjm5VG7q7V09BCxGdsgpEyFZeQo2BkkcZE61pHQ==" saltValue="7NOktrlnw5vCQ71eT6/Knw==" spinCount="100000" sheet="1" objects="1" scenarios="1"/>
  <mergeCells count="30">
    <mergeCell ref="B1:N1"/>
    <mergeCell ref="C54:E54"/>
    <mergeCell ref="K56:L56"/>
    <mergeCell ref="C5:F5"/>
    <mergeCell ref="C4:F4"/>
    <mergeCell ref="D10:H11"/>
    <mergeCell ref="D9:H9"/>
    <mergeCell ref="N36:N39"/>
    <mergeCell ref="K55:L55"/>
    <mergeCell ref="J54:L54"/>
    <mergeCell ref="I36:K37"/>
    <mergeCell ref="B78:F78"/>
    <mergeCell ref="G56:H59"/>
    <mergeCell ref="C69:E69"/>
    <mergeCell ref="J69:L69"/>
    <mergeCell ref="J66:L66"/>
    <mergeCell ref="J57:L57"/>
    <mergeCell ref="J74:N87"/>
    <mergeCell ref="B80:F81"/>
    <mergeCell ref="C68:E68"/>
    <mergeCell ref="K68:L68"/>
    <mergeCell ref="B74:F74"/>
    <mergeCell ref="B75:F75"/>
    <mergeCell ref="B77:F77"/>
    <mergeCell ref="O36:P39"/>
    <mergeCell ref="B7:Q7"/>
    <mergeCell ref="B34:Q34"/>
    <mergeCell ref="B72:Q72"/>
    <mergeCell ref="A2:N2"/>
    <mergeCell ref="K67:L67"/>
  </mergeCells>
  <conditionalFormatting sqref="B13:Q31">
    <cfRule type="expression" dxfId="1" priority="1">
      <formula>MOD(ROW(),2)=0</formula>
    </cfRule>
  </conditionalFormatting>
  <hyperlinks>
    <hyperlink ref="C4" r:id="rId1" xr:uid="{41D27E2F-5E05-454E-8518-7F27B51A062C}"/>
    <hyperlink ref="C83" r:id="rId2" display="mailto:hrhelp@yorku.ca" xr:uid="{12F6EEFD-1C19-1845-9F5A-C2738BBD3453}"/>
    <hyperlink ref="G56:H59" r:id="rId3" display="Click here to find your earnings on your paystub" xr:uid="{7EB766C3-DC1A-E247-A3CA-3DE829AB88B5}"/>
    <hyperlink ref="J88" r:id="rId4" xr:uid="{F8336FB2-B6D8-CE46-AF62-5DEFB241A1EB}"/>
    <hyperlink ref="J89" r:id="rId5" display="NOUS at Queens U" xr:uid="{1AA1EAF2-67DB-E94D-BC9A-1BD7A8DA80B1}"/>
    <hyperlink ref="J90" r:id="rId6" xr:uid="{CC2EF651-5A53-884B-B05A-7B13DE397417}"/>
    <hyperlink ref="C85" r:id="rId7" xr:uid="{231B793B-AB39-AF4E-BCBC-E1BD270CA1A6}"/>
  </hyperlinks>
  <pageMargins left="0.7" right="0.7" top="0.75" bottom="0.75" header="0.3" footer="0.3"/>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10566-F530-424D-8E0A-888721D8BE89}">
  <dimension ref="A1:X92"/>
  <sheetViews>
    <sheetView showGridLines="0" topLeftCell="A15" zoomScale="141" zoomScaleNormal="120" workbookViewId="0">
      <selection activeCell="D19" sqref="D19"/>
    </sheetView>
  </sheetViews>
  <sheetFormatPr baseColWidth="10" defaultRowHeight="16"/>
  <cols>
    <col min="1" max="1" width="23.83203125" customWidth="1"/>
    <col min="3" max="3" width="28.1640625" customWidth="1"/>
    <col min="4" max="4" width="14.33203125" customWidth="1"/>
    <col min="5" max="6" width="12.5" customWidth="1"/>
    <col min="7" max="7" width="16.5" customWidth="1"/>
    <col min="8" max="8" width="11.83203125" customWidth="1"/>
    <col min="9" max="9" width="14.5" customWidth="1"/>
    <col min="10" max="11" width="13.83203125" customWidth="1"/>
    <col min="12" max="12" width="13" bestFit="1" customWidth="1"/>
    <col min="13" max="13" width="13" customWidth="1"/>
    <col min="14" max="14" width="13.83203125" customWidth="1"/>
    <col min="15" max="15" width="15.83203125" customWidth="1"/>
    <col min="16" max="21" width="18.5" customWidth="1"/>
    <col min="22" max="22" width="19.1640625" customWidth="1"/>
  </cols>
  <sheetData>
    <row r="1" spans="1:13" ht="46" customHeight="1">
      <c r="A1" s="140" t="s">
        <v>74</v>
      </c>
      <c r="B1" s="140"/>
      <c r="C1" s="140"/>
      <c r="D1" s="140"/>
      <c r="E1" s="140"/>
      <c r="F1" s="140"/>
      <c r="G1" s="140"/>
    </row>
    <row r="2" spans="1:13">
      <c r="A2" s="109" t="s">
        <v>108</v>
      </c>
      <c r="B2" s="109"/>
      <c r="C2" s="109"/>
      <c r="D2" s="109"/>
      <c r="E2" s="109"/>
      <c r="F2" s="109"/>
      <c r="G2" s="109"/>
    </row>
    <row r="4" spans="1:13" ht="17" thickBot="1">
      <c r="B4" s="3"/>
    </row>
    <row r="5" spans="1:13" ht="29">
      <c r="B5" s="13" t="s">
        <v>44</v>
      </c>
      <c r="C5" s="120" t="s">
        <v>43</v>
      </c>
      <c r="D5" s="120"/>
      <c r="E5" s="120"/>
      <c r="F5" s="121"/>
    </row>
    <row r="6" spans="1:13" ht="17" thickBot="1">
      <c r="B6" s="15"/>
      <c r="C6" s="118" t="s">
        <v>61</v>
      </c>
      <c r="D6" s="118"/>
      <c r="E6" s="118"/>
      <c r="F6" s="119"/>
    </row>
    <row r="7" spans="1:13">
      <c r="B7" s="3"/>
    </row>
    <row r="8" spans="1:13" ht="17" thickBot="1"/>
    <row r="9" spans="1:13" ht="29">
      <c r="B9" s="3"/>
      <c r="D9" s="141" t="s">
        <v>45</v>
      </c>
      <c r="E9" s="142"/>
      <c r="F9" s="143"/>
    </row>
    <row r="10" spans="1:13" ht="22" customHeight="1">
      <c r="B10" s="3"/>
      <c r="D10" s="144" t="s">
        <v>60</v>
      </c>
      <c r="E10" s="145"/>
      <c r="F10" s="146"/>
    </row>
    <row r="11" spans="1:13" ht="22" customHeight="1" thickBot="1">
      <c r="B11" s="5"/>
      <c r="C11" s="4"/>
      <c r="D11" s="137" t="s">
        <v>62</v>
      </c>
      <c r="E11" s="138"/>
      <c r="F11" s="139"/>
    </row>
    <row r="12" spans="1:13" ht="35" thickBot="1">
      <c r="B12" s="5" t="s">
        <v>51</v>
      </c>
      <c r="C12" s="4" t="s">
        <v>16</v>
      </c>
      <c r="D12" s="41" t="s">
        <v>57</v>
      </c>
      <c r="E12" s="41" t="s">
        <v>58</v>
      </c>
      <c r="F12" s="42" t="s">
        <v>59</v>
      </c>
    </row>
    <row r="13" spans="1:13">
      <c r="B13" s="26" t="s">
        <v>0</v>
      </c>
      <c r="C13" s="27" t="s">
        <v>10</v>
      </c>
      <c r="D13" s="28"/>
      <c r="E13" s="28"/>
      <c r="F13" s="28"/>
      <c r="H13" s="91"/>
      <c r="I13" s="91"/>
      <c r="J13" s="91"/>
      <c r="K13" s="91"/>
    </row>
    <row r="14" spans="1:13">
      <c r="B14" s="26" t="s">
        <v>0</v>
      </c>
      <c r="C14" s="27" t="s">
        <v>9</v>
      </c>
      <c r="D14" s="29"/>
      <c r="E14" s="29"/>
      <c r="F14" s="29"/>
      <c r="H14" s="3"/>
      <c r="I14" s="3"/>
      <c r="J14" s="3"/>
      <c r="K14" s="3"/>
      <c r="L14" s="3"/>
      <c r="M14" s="3"/>
    </row>
    <row r="15" spans="1:13">
      <c r="B15" s="26" t="s">
        <v>0</v>
      </c>
      <c r="C15" s="21" t="s">
        <v>12</v>
      </c>
      <c r="D15" s="22"/>
      <c r="E15" s="22"/>
      <c r="F15" s="22"/>
      <c r="H15" s="10"/>
      <c r="I15" s="10"/>
      <c r="J15" s="10"/>
      <c r="K15" s="10"/>
      <c r="L15" s="10"/>
      <c r="M15" s="10"/>
    </row>
    <row r="16" spans="1:13">
      <c r="B16" s="26" t="s">
        <v>0</v>
      </c>
      <c r="C16" s="21" t="s">
        <v>1</v>
      </c>
      <c r="D16" s="22"/>
      <c r="E16" s="22"/>
      <c r="F16" s="22"/>
      <c r="H16" s="10"/>
      <c r="I16" s="10"/>
      <c r="J16" s="10"/>
      <c r="K16" s="10"/>
      <c r="L16" s="10"/>
      <c r="M16" s="10"/>
    </row>
    <row r="17" spans="2:13">
      <c r="B17" s="26" t="s">
        <v>0</v>
      </c>
      <c r="C17" s="21" t="s">
        <v>7</v>
      </c>
      <c r="D17" s="22"/>
      <c r="E17" s="22"/>
      <c r="F17" s="22"/>
      <c r="H17" s="10"/>
      <c r="I17" s="10"/>
      <c r="J17" s="10"/>
      <c r="K17" s="10"/>
      <c r="L17" s="10"/>
      <c r="M17" s="10"/>
    </row>
    <row r="18" spans="2:13">
      <c r="B18" s="26" t="s">
        <v>0</v>
      </c>
      <c r="C18" s="21" t="s">
        <v>8</v>
      </c>
      <c r="D18" s="22"/>
      <c r="E18" s="22"/>
      <c r="F18" s="22"/>
    </row>
    <row r="19" spans="2:13">
      <c r="B19" s="26" t="s">
        <v>14</v>
      </c>
      <c r="C19" s="21" t="s">
        <v>13</v>
      </c>
      <c r="D19" s="22"/>
      <c r="E19" s="22"/>
      <c r="F19" s="22"/>
      <c r="H19" s="10"/>
      <c r="I19" s="10"/>
      <c r="J19" s="10"/>
      <c r="K19" s="10"/>
      <c r="L19" s="10"/>
      <c r="M19" s="10"/>
    </row>
    <row r="20" spans="2:13">
      <c r="B20" s="26" t="s">
        <v>14</v>
      </c>
      <c r="C20" s="21" t="s">
        <v>2</v>
      </c>
      <c r="D20" s="22"/>
      <c r="E20" s="22"/>
      <c r="F20" s="22"/>
      <c r="H20" s="10"/>
      <c r="I20" s="10"/>
      <c r="J20" s="10"/>
      <c r="K20" s="10"/>
      <c r="L20" s="10"/>
      <c r="M20" s="10"/>
    </row>
    <row r="21" spans="2:13">
      <c r="B21" s="26" t="s">
        <v>15</v>
      </c>
      <c r="C21" s="21" t="s">
        <v>23</v>
      </c>
      <c r="D21" s="22"/>
      <c r="E21" s="22"/>
      <c r="F21" s="22"/>
      <c r="H21" s="10"/>
      <c r="I21" s="10"/>
      <c r="J21" s="10"/>
      <c r="K21" s="10"/>
      <c r="L21" s="10"/>
      <c r="M21" s="10"/>
    </row>
    <row r="22" spans="2:13">
      <c r="B22" s="26" t="s">
        <v>15</v>
      </c>
      <c r="C22" s="21" t="s">
        <v>24</v>
      </c>
      <c r="D22" s="22"/>
      <c r="E22" s="22"/>
      <c r="F22" s="22"/>
    </row>
    <row r="23" spans="2:13">
      <c r="B23" s="26" t="s">
        <v>14</v>
      </c>
      <c r="C23" s="21" t="s">
        <v>3</v>
      </c>
      <c r="D23" s="22"/>
      <c r="E23" s="22"/>
      <c r="F23" s="22"/>
    </row>
    <row r="24" spans="2:13">
      <c r="B24" s="26" t="s">
        <v>14</v>
      </c>
      <c r="C24" s="21" t="s">
        <v>4</v>
      </c>
      <c r="D24" s="22"/>
      <c r="E24" s="22"/>
      <c r="F24" s="22"/>
      <c r="H24" s="10"/>
      <c r="I24" s="10"/>
      <c r="J24" s="10"/>
      <c r="K24" s="10"/>
      <c r="L24" s="10"/>
      <c r="M24" s="10"/>
    </row>
    <row r="25" spans="2:13">
      <c r="B25" s="26"/>
      <c r="C25" s="21" t="s">
        <v>5</v>
      </c>
      <c r="D25" s="22"/>
      <c r="E25" s="22"/>
      <c r="F25" s="22"/>
    </row>
    <row r="26" spans="2:13">
      <c r="B26" s="26" t="s">
        <v>14</v>
      </c>
      <c r="C26" s="21" t="s">
        <v>25</v>
      </c>
      <c r="D26" s="22"/>
      <c r="E26" s="22"/>
      <c r="F26" s="22"/>
    </row>
    <row r="27" spans="2:13">
      <c r="B27" s="26" t="s">
        <v>14</v>
      </c>
      <c r="C27" s="21" t="s">
        <v>6</v>
      </c>
      <c r="D27" s="22"/>
      <c r="E27" s="22"/>
      <c r="F27" s="22"/>
    </row>
    <row r="28" spans="2:13">
      <c r="B28" s="26" t="s">
        <v>15</v>
      </c>
      <c r="C28" s="21" t="s">
        <v>26</v>
      </c>
      <c r="D28" s="22"/>
      <c r="E28" s="22"/>
      <c r="F28" s="22"/>
    </row>
    <row r="29" spans="2:13">
      <c r="B29" s="26" t="s">
        <v>15</v>
      </c>
      <c r="C29" s="21" t="s">
        <v>27</v>
      </c>
      <c r="D29" s="22"/>
      <c r="E29" s="22"/>
      <c r="F29" s="22"/>
    </row>
    <row r="30" spans="2:13">
      <c r="B30" s="26"/>
      <c r="C30" s="21" t="s">
        <v>28</v>
      </c>
      <c r="D30" s="22"/>
      <c r="E30" s="22"/>
      <c r="F30" s="22"/>
    </row>
    <row r="31" spans="2:13">
      <c r="B31" s="14"/>
      <c r="C31" s="9"/>
      <c r="D31" s="52"/>
      <c r="E31" s="52"/>
      <c r="F31" s="52"/>
    </row>
    <row r="32" spans="2:13">
      <c r="B32" s="7"/>
      <c r="C32" s="1" t="s">
        <v>56</v>
      </c>
      <c r="D32" s="1"/>
      <c r="E32" s="1"/>
      <c r="F32" s="1"/>
    </row>
    <row r="33" spans="2:8" ht="17" thickBot="1">
      <c r="B33" s="7"/>
      <c r="C33" s="1"/>
      <c r="D33" s="1"/>
      <c r="E33" s="1"/>
      <c r="F33" s="1"/>
    </row>
    <row r="34" spans="2:8" ht="17">
      <c r="B34" s="43"/>
      <c r="C34" s="56"/>
      <c r="D34" s="60" t="s">
        <v>67</v>
      </c>
      <c r="E34" s="61" t="s">
        <v>64</v>
      </c>
      <c r="F34" s="62" t="s">
        <v>65</v>
      </c>
    </row>
    <row r="35" spans="2:8" s="12" customFormat="1" ht="20" customHeight="1">
      <c r="B35" s="14"/>
      <c r="C35" s="53" t="s">
        <v>71</v>
      </c>
      <c r="D35" s="59" t="s">
        <v>68</v>
      </c>
      <c r="E35" s="54" t="s">
        <v>69</v>
      </c>
      <c r="F35" s="55" t="s">
        <v>70</v>
      </c>
      <c r="G35" s="2"/>
      <c r="H35" s="11"/>
    </row>
    <row r="36" spans="2:8" ht="18" customHeight="1">
      <c r="C36" s="44"/>
      <c r="D36" s="57">
        <f>SUM(G61:G77)</f>
        <v>0</v>
      </c>
      <c r="E36" s="57">
        <f>SUM(K61:K78)</f>
        <v>0</v>
      </c>
      <c r="F36" s="58">
        <f>SUM(O61:O78)</f>
        <v>0</v>
      </c>
      <c r="G36" s="2"/>
      <c r="H36" s="2"/>
    </row>
    <row r="37" spans="2:8" ht="16" customHeight="1">
      <c r="B37" s="7"/>
      <c r="C37" s="44"/>
      <c r="F37" s="45"/>
      <c r="G37" s="2"/>
      <c r="H37" s="11"/>
    </row>
    <row r="38" spans="2:8" ht="38" customHeight="1" thickBot="1">
      <c r="B38" s="7"/>
      <c r="C38" s="48" t="s">
        <v>66</v>
      </c>
      <c r="D38" s="49">
        <f>SUM(D36:F36)</f>
        <v>0</v>
      </c>
      <c r="E38" s="46"/>
      <c r="F38" s="47"/>
      <c r="G38" s="2"/>
      <c r="H38" s="11"/>
    </row>
    <row r="39" spans="2:8">
      <c r="B39" s="7"/>
      <c r="F39" s="1"/>
      <c r="G39" s="2"/>
      <c r="H39" s="11"/>
    </row>
    <row r="43" spans="2:8">
      <c r="B43" s="90" t="s">
        <v>120</v>
      </c>
      <c r="C43" s="89"/>
      <c r="D43" s="89"/>
      <c r="E43" s="89"/>
    </row>
    <row r="44" spans="2:8" ht="16" customHeight="1">
      <c r="B44" s="147" t="s">
        <v>132</v>
      </c>
      <c r="C44" s="147"/>
      <c r="D44" s="147"/>
      <c r="E44" s="147"/>
      <c r="F44" s="147"/>
      <c r="G44" s="147"/>
    </row>
    <row r="45" spans="2:8" ht="31" customHeight="1">
      <c r="B45" s="147"/>
      <c r="C45" s="147"/>
      <c r="D45" s="147"/>
      <c r="E45" s="147"/>
      <c r="F45" s="147"/>
      <c r="G45" s="147"/>
    </row>
    <row r="46" spans="2:8">
      <c r="B46" s="90"/>
      <c r="C46" s="90"/>
      <c r="D46" s="90"/>
      <c r="E46" s="90"/>
      <c r="F46" s="90"/>
    </row>
    <row r="47" spans="2:8">
      <c r="B47" s="90" t="s">
        <v>117</v>
      </c>
      <c r="C47" s="90"/>
      <c r="D47" s="90"/>
      <c r="E47" s="90"/>
      <c r="F47" s="90"/>
    </row>
    <row r="49" spans="2:24">
      <c r="B49" s="90" t="s">
        <v>118</v>
      </c>
      <c r="C49" s="90"/>
      <c r="D49" s="90"/>
      <c r="E49" s="90"/>
      <c r="F49" s="90"/>
    </row>
    <row r="50" spans="2:24">
      <c r="B50" s="90" t="s">
        <v>134</v>
      </c>
      <c r="C50" s="90"/>
      <c r="D50" s="90"/>
      <c r="E50" s="90"/>
      <c r="F50" s="90"/>
    </row>
    <row r="51" spans="2:24">
      <c r="B51" s="90" t="s">
        <v>135</v>
      </c>
      <c r="C51" s="90"/>
      <c r="D51" s="90"/>
      <c r="E51" s="90"/>
      <c r="F51" s="90"/>
    </row>
    <row r="52" spans="2:24">
      <c r="B52" s="90" t="s">
        <v>136</v>
      </c>
      <c r="C52" s="90"/>
      <c r="D52" s="90"/>
      <c r="E52" s="90"/>
      <c r="F52" s="90"/>
    </row>
    <row r="53" spans="2:24">
      <c r="B53" s="90" t="s">
        <v>119</v>
      </c>
      <c r="C53" s="90"/>
      <c r="D53" s="90"/>
      <c r="E53" s="90"/>
      <c r="F53" s="90"/>
    </row>
    <row r="55" spans="2:24">
      <c r="B55" s="136" t="s">
        <v>133</v>
      </c>
      <c r="C55" s="136"/>
      <c r="D55" s="136"/>
      <c r="E55" s="136"/>
      <c r="F55" s="136"/>
      <c r="G55" s="136"/>
    </row>
    <row r="56" spans="2:24">
      <c r="B56" s="136"/>
      <c r="C56" s="136"/>
      <c r="D56" s="136"/>
      <c r="E56" s="136"/>
      <c r="F56" s="136"/>
      <c r="G56" s="136"/>
    </row>
    <row r="57" spans="2:24">
      <c r="B57" s="136"/>
      <c r="C57" s="136"/>
      <c r="D57" s="136"/>
      <c r="E57" s="136"/>
      <c r="F57" s="136"/>
      <c r="G57" s="136"/>
    </row>
    <row r="60" spans="2:24" s="50" customFormat="1" ht="34" customHeight="1">
      <c r="D60" s="50" t="s">
        <v>63</v>
      </c>
      <c r="E60" s="92" t="s">
        <v>125</v>
      </c>
      <c r="F60" s="93" t="s">
        <v>129</v>
      </c>
      <c r="G60" s="93" t="s">
        <v>126</v>
      </c>
      <c r="H60" s="94" t="s">
        <v>127</v>
      </c>
      <c r="I60" s="95" t="s">
        <v>128</v>
      </c>
      <c r="J60" s="64" t="s">
        <v>130</v>
      </c>
      <c r="K60" s="64" t="s">
        <v>126</v>
      </c>
      <c r="L60" s="94" t="s">
        <v>122</v>
      </c>
      <c r="M60" s="93" t="s">
        <v>131</v>
      </c>
      <c r="N60" s="95" t="s">
        <v>121</v>
      </c>
      <c r="O60" s="64" t="s">
        <v>124</v>
      </c>
      <c r="P60" s="94" t="s">
        <v>123</v>
      </c>
      <c r="Q60" s="64" t="s">
        <v>138</v>
      </c>
      <c r="R60" s="64" t="s">
        <v>139</v>
      </c>
      <c r="S60" s="64" t="s">
        <v>140</v>
      </c>
      <c r="T60" s="64" t="s">
        <v>147</v>
      </c>
      <c r="U60" s="64" t="s">
        <v>141</v>
      </c>
      <c r="V60" s="98" t="s">
        <v>142</v>
      </c>
    </row>
    <row r="61" spans="2:24" s="50" customFormat="1">
      <c r="C61" s="50" t="s">
        <v>10</v>
      </c>
      <c r="D61" s="51">
        <v>20149.875</v>
      </c>
      <c r="E61" s="51">
        <f>D61*1.01</f>
        <v>20351.373749999999</v>
      </c>
      <c r="F61" s="51">
        <f t="shared" ref="F61:F77" si="0">H61-E61</f>
        <v>201.49875000000247</v>
      </c>
      <c r="G61" s="51">
        <f t="shared" ref="G61:G77" si="1">F61*D13</f>
        <v>0</v>
      </c>
      <c r="H61" s="51">
        <f t="shared" ref="H61:H77" si="2">D61*1.02</f>
        <v>20552.872500000001</v>
      </c>
      <c r="I61" s="51">
        <f>E61*1.01</f>
        <v>20554.8874875</v>
      </c>
      <c r="J61" s="51">
        <f>L61-I61</f>
        <v>614.57118750000154</v>
      </c>
      <c r="K61" s="51">
        <f t="shared" ref="K61:K78" si="3">E13*J61</f>
        <v>0</v>
      </c>
      <c r="L61" s="51">
        <f>H61*1.03</f>
        <v>21169.458675000002</v>
      </c>
      <c r="M61" s="51">
        <f>I61*1.01</f>
        <v>20760.436362375</v>
      </c>
      <c r="N61" s="51">
        <f>P61-M61</f>
        <v>1255.8006596250016</v>
      </c>
      <c r="O61" s="51">
        <f t="shared" ref="O61:O78" si="4">F13*N61</f>
        <v>0</v>
      </c>
      <c r="P61" s="51">
        <f>L61*1.04</f>
        <v>22016.237022000001</v>
      </c>
      <c r="Q61" s="51">
        <f>M61*1.01</f>
        <v>20968.040725998751</v>
      </c>
      <c r="R61" s="51">
        <f>V61-Q61</f>
        <v>1730.6996436832487</v>
      </c>
      <c r="S61" s="51">
        <f>R61*0.75</f>
        <v>1298.0247327624365</v>
      </c>
      <c r="T61" s="51">
        <f>R61*0.5</f>
        <v>865.34982184162436</v>
      </c>
      <c r="U61" s="51">
        <f>R61*0.25</f>
        <v>432.67491092081218</v>
      </c>
      <c r="V61" s="51">
        <f>(L61*1.04)*1.031</f>
        <v>22698.740369682</v>
      </c>
    </row>
    <row r="62" spans="2:24" s="50" customFormat="1">
      <c r="C62" s="50" t="s">
        <v>9</v>
      </c>
      <c r="D62" s="51">
        <f>D63*1.125</f>
        <v>20149.875</v>
      </c>
      <c r="E62" s="51">
        <f t="shared" ref="E62:E77" si="5">D62*1.01</f>
        <v>20351.373749999999</v>
      </c>
      <c r="F62" s="51">
        <f t="shared" si="0"/>
        <v>201.49875000000247</v>
      </c>
      <c r="G62" s="51">
        <f t="shared" si="1"/>
        <v>0</v>
      </c>
      <c r="H62" s="51">
        <f t="shared" si="2"/>
        <v>20552.872500000001</v>
      </c>
      <c r="I62" s="51">
        <f t="shared" ref="I62:I78" si="6">E62*1.01</f>
        <v>20554.8874875</v>
      </c>
      <c r="J62" s="51">
        <f t="shared" ref="J62:J78" si="7">L62-I62</f>
        <v>614.57118750000154</v>
      </c>
      <c r="K62" s="51">
        <f t="shared" si="3"/>
        <v>0</v>
      </c>
      <c r="L62" s="51">
        <f t="shared" ref="L62:L78" si="8">H62*1.03</f>
        <v>21169.458675000002</v>
      </c>
      <c r="M62" s="51">
        <f t="shared" ref="M62:M78" si="9">I62*1.01</f>
        <v>20760.436362375</v>
      </c>
      <c r="N62" s="51">
        <f t="shared" ref="N62:N78" si="10">P62-M62</f>
        <v>1255.8006596250016</v>
      </c>
      <c r="O62" s="51">
        <f t="shared" si="4"/>
        <v>0</v>
      </c>
      <c r="P62" s="51">
        <f t="shared" ref="P62:P78" si="11">L62*1.04</f>
        <v>22016.237022000001</v>
      </c>
      <c r="Q62" s="51">
        <f t="shared" ref="Q62:Q78" si="12">M62*1.01</f>
        <v>20968.040725998751</v>
      </c>
      <c r="R62" s="51">
        <f t="shared" ref="R62:R78" si="13">V62-Q62</f>
        <v>1730.6996436832487</v>
      </c>
      <c r="S62" s="51">
        <f t="shared" ref="S62:S78" si="14">R62*0.75</f>
        <v>1298.0247327624365</v>
      </c>
      <c r="T62" s="51">
        <f t="shared" ref="T62:T78" si="15">R62*0.5</f>
        <v>865.34982184162436</v>
      </c>
      <c r="U62" s="51">
        <f t="shared" ref="U62:U78" si="16">R62*0.25</f>
        <v>432.67491092081218</v>
      </c>
      <c r="V62" s="51">
        <f t="shared" ref="V62" si="17">(L62*1.04)*1.031</f>
        <v>22698.740369682</v>
      </c>
    </row>
    <row r="63" spans="2:24" s="50" customFormat="1">
      <c r="C63" s="50" t="s">
        <v>12</v>
      </c>
      <c r="D63" s="51">
        <v>17911</v>
      </c>
      <c r="E63" s="51">
        <f t="shared" si="5"/>
        <v>18090.11</v>
      </c>
      <c r="F63" s="51">
        <f t="shared" si="0"/>
        <v>179.11000000000058</v>
      </c>
      <c r="G63" s="51">
        <f t="shared" si="1"/>
        <v>0</v>
      </c>
      <c r="H63" s="51">
        <f t="shared" si="2"/>
        <v>18269.22</v>
      </c>
      <c r="I63" s="51">
        <f t="shared" si="6"/>
        <v>18271.0111</v>
      </c>
      <c r="J63" s="51">
        <f t="shared" si="7"/>
        <v>546.28550000000178</v>
      </c>
      <c r="K63" s="51">
        <f t="shared" si="3"/>
        <v>0</v>
      </c>
      <c r="L63" s="51">
        <f t="shared" si="8"/>
        <v>18817.296600000001</v>
      </c>
      <c r="M63" s="51">
        <f t="shared" si="9"/>
        <v>18453.721211</v>
      </c>
      <c r="N63" s="51">
        <f t="shared" si="10"/>
        <v>1116.2672530000018</v>
      </c>
      <c r="O63" s="51">
        <f t="shared" si="4"/>
        <v>0</v>
      </c>
      <c r="P63" s="51">
        <f t="shared" si="11"/>
        <v>19569.988464000002</v>
      </c>
      <c r="Q63" s="51">
        <f t="shared" si="12"/>
        <v>18638.258423110001</v>
      </c>
      <c r="R63" s="51">
        <f t="shared" si="13"/>
        <v>1538.3996832739977</v>
      </c>
      <c r="S63" s="51">
        <f t="shared" si="14"/>
        <v>1153.7997624554982</v>
      </c>
      <c r="T63" s="51">
        <f t="shared" si="15"/>
        <v>769.19984163699883</v>
      </c>
      <c r="U63" s="51">
        <f t="shared" si="16"/>
        <v>384.59992081849941</v>
      </c>
      <c r="V63" s="51">
        <f>(L63*1.04)*1.031</f>
        <v>20176.658106383999</v>
      </c>
    </row>
    <row r="64" spans="2:24" s="50" customFormat="1">
      <c r="C64" s="50" t="s">
        <v>1</v>
      </c>
      <c r="D64" s="51">
        <v>17911</v>
      </c>
      <c r="E64" s="51">
        <f t="shared" si="5"/>
        <v>18090.11</v>
      </c>
      <c r="F64" s="51">
        <f t="shared" si="0"/>
        <v>179.11000000000058</v>
      </c>
      <c r="G64" s="51">
        <f t="shared" si="1"/>
        <v>0</v>
      </c>
      <c r="H64" s="51">
        <f t="shared" si="2"/>
        <v>18269.22</v>
      </c>
      <c r="I64" s="51">
        <f t="shared" si="6"/>
        <v>18271.0111</v>
      </c>
      <c r="J64" s="51">
        <f t="shared" si="7"/>
        <v>546.28550000000178</v>
      </c>
      <c r="K64" s="51">
        <f t="shared" si="3"/>
        <v>0</v>
      </c>
      <c r="L64" s="51">
        <f t="shared" si="8"/>
        <v>18817.296600000001</v>
      </c>
      <c r="M64" s="51">
        <f t="shared" si="9"/>
        <v>18453.721211</v>
      </c>
      <c r="N64" s="51">
        <f t="shared" si="10"/>
        <v>1116.2672530000018</v>
      </c>
      <c r="O64" s="51">
        <f t="shared" si="4"/>
        <v>0</v>
      </c>
      <c r="P64" s="51">
        <f t="shared" si="11"/>
        <v>19569.988464000002</v>
      </c>
      <c r="Q64" s="51">
        <f t="shared" si="12"/>
        <v>18638.258423110001</v>
      </c>
      <c r="R64" s="51">
        <f t="shared" si="13"/>
        <v>1538.3996832739977</v>
      </c>
      <c r="S64" s="51">
        <f t="shared" si="14"/>
        <v>1153.7997624554982</v>
      </c>
      <c r="T64" s="51">
        <f t="shared" si="15"/>
        <v>769.19984163699883</v>
      </c>
      <c r="U64" s="51">
        <f t="shared" si="16"/>
        <v>384.59992081849941</v>
      </c>
      <c r="V64" s="51">
        <f t="shared" ref="V64:V78" si="18">(L64*1.04)*1.031</f>
        <v>20176.658106383999</v>
      </c>
      <c r="X64" s="51"/>
    </row>
    <row r="65" spans="3:22" s="50" customFormat="1">
      <c r="C65" s="50" t="s">
        <v>7</v>
      </c>
      <c r="D65" s="51">
        <v>17911</v>
      </c>
      <c r="E65" s="51">
        <f t="shared" si="5"/>
        <v>18090.11</v>
      </c>
      <c r="F65" s="51">
        <f t="shared" si="0"/>
        <v>179.11000000000058</v>
      </c>
      <c r="G65" s="51">
        <f t="shared" si="1"/>
        <v>0</v>
      </c>
      <c r="H65" s="51">
        <f t="shared" si="2"/>
        <v>18269.22</v>
      </c>
      <c r="I65" s="51">
        <f t="shared" si="6"/>
        <v>18271.0111</v>
      </c>
      <c r="J65" s="51">
        <f t="shared" si="7"/>
        <v>546.28550000000178</v>
      </c>
      <c r="K65" s="51">
        <f t="shared" si="3"/>
        <v>0</v>
      </c>
      <c r="L65" s="51">
        <f t="shared" si="8"/>
        <v>18817.296600000001</v>
      </c>
      <c r="M65" s="51">
        <f t="shared" si="9"/>
        <v>18453.721211</v>
      </c>
      <c r="N65" s="51">
        <f t="shared" si="10"/>
        <v>1116.2672530000018</v>
      </c>
      <c r="O65" s="51">
        <f t="shared" si="4"/>
        <v>0</v>
      </c>
      <c r="P65" s="51">
        <f t="shared" si="11"/>
        <v>19569.988464000002</v>
      </c>
      <c r="Q65" s="51">
        <f t="shared" si="12"/>
        <v>18638.258423110001</v>
      </c>
      <c r="R65" s="51">
        <f t="shared" si="13"/>
        <v>1538.3996832739977</v>
      </c>
      <c r="S65" s="51">
        <f t="shared" si="14"/>
        <v>1153.7997624554982</v>
      </c>
      <c r="T65" s="51">
        <f t="shared" si="15"/>
        <v>769.19984163699883</v>
      </c>
      <c r="U65" s="51">
        <f t="shared" si="16"/>
        <v>384.59992081849941</v>
      </c>
      <c r="V65" s="51">
        <f t="shared" si="18"/>
        <v>20176.658106383999</v>
      </c>
    </row>
    <row r="66" spans="3:22" s="50" customFormat="1">
      <c r="C66" s="50" t="s">
        <v>8</v>
      </c>
      <c r="D66" s="51">
        <v>17911</v>
      </c>
      <c r="E66" s="51">
        <f t="shared" si="5"/>
        <v>18090.11</v>
      </c>
      <c r="F66" s="51">
        <f t="shared" si="0"/>
        <v>179.11000000000058</v>
      </c>
      <c r="G66" s="51">
        <f t="shared" si="1"/>
        <v>0</v>
      </c>
      <c r="H66" s="51">
        <f t="shared" si="2"/>
        <v>18269.22</v>
      </c>
      <c r="I66" s="51">
        <f t="shared" si="6"/>
        <v>18271.0111</v>
      </c>
      <c r="J66" s="51">
        <f t="shared" si="7"/>
        <v>546.28550000000178</v>
      </c>
      <c r="K66" s="51">
        <f t="shared" si="3"/>
        <v>0</v>
      </c>
      <c r="L66" s="51">
        <f t="shared" si="8"/>
        <v>18817.296600000001</v>
      </c>
      <c r="M66" s="51">
        <f t="shared" si="9"/>
        <v>18453.721211</v>
      </c>
      <c r="N66" s="51">
        <f t="shared" si="10"/>
        <v>1116.2672530000018</v>
      </c>
      <c r="O66" s="51">
        <f t="shared" si="4"/>
        <v>0</v>
      </c>
      <c r="P66" s="51">
        <f t="shared" si="11"/>
        <v>19569.988464000002</v>
      </c>
      <c r="Q66" s="51">
        <f t="shared" si="12"/>
        <v>18638.258423110001</v>
      </c>
      <c r="R66" s="51">
        <f t="shared" si="13"/>
        <v>1538.3996832739977</v>
      </c>
      <c r="S66" s="51">
        <f t="shared" si="14"/>
        <v>1153.7997624554982</v>
      </c>
      <c r="T66" s="51">
        <f t="shared" si="15"/>
        <v>769.19984163699883</v>
      </c>
      <c r="U66" s="51">
        <f t="shared" si="16"/>
        <v>384.59992081849941</v>
      </c>
      <c r="V66" s="51">
        <f t="shared" si="18"/>
        <v>20176.658106383999</v>
      </c>
    </row>
    <row r="67" spans="3:22" s="50" customFormat="1">
      <c r="C67" s="50" t="s">
        <v>13</v>
      </c>
      <c r="D67" s="51">
        <v>5988</v>
      </c>
      <c r="E67" s="51">
        <f t="shared" si="5"/>
        <v>6047.88</v>
      </c>
      <c r="F67" s="51">
        <f t="shared" si="0"/>
        <v>59.880000000000109</v>
      </c>
      <c r="G67" s="51">
        <f t="shared" si="1"/>
        <v>0</v>
      </c>
      <c r="H67" s="51">
        <f t="shared" si="2"/>
        <v>6107.76</v>
      </c>
      <c r="I67" s="51">
        <f t="shared" si="6"/>
        <v>6108.3588</v>
      </c>
      <c r="J67" s="51">
        <f t="shared" si="7"/>
        <v>182.63400000000001</v>
      </c>
      <c r="K67" s="51">
        <f t="shared" si="3"/>
        <v>0</v>
      </c>
      <c r="L67" s="51">
        <f t="shared" si="8"/>
        <v>6290.9928</v>
      </c>
      <c r="M67" s="51">
        <f t="shared" si="9"/>
        <v>6169.4423880000004</v>
      </c>
      <c r="N67" s="51">
        <f t="shared" si="10"/>
        <v>373.19012399999974</v>
      </c>
      <c r="O67" s="51">
        <f t="shared" si="4"/>
        <v>0</v>
      </c>
      <c r="P67" s="51">
        <f t="shared" si="11"/>
        <v>6542.6325120000001</v>
      </c>
      <c r="Q67" s="51">
        <f t="shared" si="12"/>
        <v>6231.1368118800001</v>
      </c>
      <c r="R67" s="51">
        <f t="shared" si="13"/>
        <v>514.31730799199977</v>
      </c>
      <c r="S67" s="51">
        <f t="shared" si="14"/>
        <v>385.73798099399983</v>
      </c>
      <c r="T67" s="51">
        <f t="shared" si="15"/>
        <v>257.15865399599988</v>
      </c>
      <c r="U67" s="51">
        <f t="shared" si="16"/>
        <v>128.57932699799994</v>
      </c>
      <c r="V67" s="51">
        <f t="shared" si="18"/>
        <v>6745.4541198719999</v>
      </c>
    </row>
    <row r="68" spans="3:22" s="50" customFormat="1">
      <c r="C68" s="50" t="s">
        <v>2</v>
      </c>
      <c r="D68" s="51">
        <v>6424</v>
      </c>
      <c r="E68" s="51">
        <f t="shared" si="5"/>
        <v>6488.24</v>
      </c>
      <c r="F68" s="51">
        <f t="shared" si="0"/>
        <v>64.240000000000691</v>
      </c>
      <c r="G68" s="51">
        <f t="shared" si="1"/>
        <v>0</v>
      </c>
      <c r="H68" s="51">
        <f t="shared" si="2"/>
        <v>6552.4800000000005</v>
      </c>
      <c r="I68" s="51">
        <f t="shared" si="6"/>
        <v>6553.1224000000002</v>
      </c>
      <c r="J68" s="51">
        <f t="shared" si="7"/>
        <v>195.9320000000007</v>
      </c>
      <c r="K68" s="51">
        <f t="shared" si="3"/>
        <v>0</v>
      </c>
      <c r="L68" s="51">
        <f t="shared" si="8"/>
        <v>6749.0544000000009</v>
      </c>
      <c r="M68" s="51">
        <f t="shared" si="9"/>
        <v>6618.6536240000005</v>
      </c>
      <c r="N68" s="51">
        <f t="shared" si="10"/>
        <v>400.3629520000004</v>
      </c>
      <c r="O68" s="51">
        <f t="shared" si="4"/>
        <v>0</v>
      </c>
      <c r="P68" s="51">
        <f t="shared" si="11"/>
        <v>7019.0165760000009</v>
      </c>
      <c r="Q68" s="51">
        <f t="shared" si="12"/>
        <v>6684.8401602400008</v>
      </c>
      <c r="R68" s="51">
        <f t="shared" si="13"/>
        <v>551.76592961599908</v>
      </c>
      <c r="S68" s="51">
        <f t="shared" si="14"/>
        <v>413.82444721199931</v>
      </c>
      <c r="T68" s="51">
        <f t="shared" si="15"/>
        <v>275.88296480799954</v>
      </c>
      <c r="U68" s="51">
        <f t="shared" si="16"/>
        <v>137.94148240399977</v>
      </c>
      <c r="V68" s="51">
        <f t="shared" si="18"/>
        <v>7236.6060898559999</v>
      </c>
    </row>
    <row r="69" spans="3:22" s="50" customFormat="1">
      <c r="C69" s="50" t="s">
        <v>23</v>
      </c>
      <c r="D69" s="51">
        <v>38.56</v>
      </c>
      <c r="E69" s="51">
        <f t="shared" si="5"/>
        <v>38.945600000000006</v>
      </c>
      <c r="F69" s="51">
        <f t="shared" si="0"/>
        <v>0.38559999999999661</v>
      </c>
      <c r="G69" s="51">
        <f t="shared" si="1"/>
        <v>0</v>
      </c>
      <c r="H69" s="51">
        <f t="shared" si="2"/>
        <v>39.331200000000003</v>
      </c>
      <c r="I69" s="51">
        <f t="shared" si="6"/>
        <v>39.335056000000009</v>
      </c>
      <c r="J69" s="51">
        <f t="shared" si="7"/>
        <v>1.1760799999999918</v>
      </c>
      <c r="K69" s="51">
        <f t="shared" si="3"/>
        <v>0</v>
      </c>
      <c r="L69" s="51">
        <f t="shared" si="8"/>
        <v>40.511136</v>
      </c>
      <c r="M69" s="51">
        <f t="shared" si="9"/>
        <v>39.72840656000001</v>
      </c>
      <c r="N69" s="51">
        <f t="shared" si="10"/>
        <v>2.4031748799999946</v>
      </c>
      <c r="O69" s="51">
        <f t="shared" si="4"/>
        <v>0</v>
      </c>
      <c r="P69" s="51">
        <f t="shared" si="11"/>
        <v>42.131581440000005</v>
      </c>
      <c r="Q69" s="51">
        <f t="shared" si="12"/>
        <v>40.125690625600008</v>
      </c>
      <c r="R69" s="51">
        <f t="shared" si="13"/>
        <v>3.3119698390399961</v>
      </c>
      <c r="S69" s="51">
        <f t="shared" si="14"/>
        <v>2.4839773792799971</v>
      </c>
      <c r="T69" s="51">
        <f t="shared" si="15"/>
        <v>1.655984919519998</v>
      </c>
      <c r="U69" s="51">
        <f t="shared" si="16"/>
        <v>0.82799245975999902</v>
      </c>
      <c r="V69" s="51">
        <f t="shared" si="18"/>
        <v>43.437660464640004</v>
      </c>
    </row>
    <row r="70" spans="3:22" s="50" customFormat="1">
      <c r="C70" s="50" t="s">
        <v>24</v>
      </c>
      <c r="D70" s="51">
        <v>38.56</v>
      </c>
      <c r="E70" s="51">
        <f t="shared" si="5"/>
        <v>38.945600000000006</v>
      </c>
      <c r="F70" s="51">
        <f t="shared" si="0"/>
        <v>0.38559999999999661</v>
      </c>
      <c r="G70" s="51">
        <f t="shared" si="1"/>
        <v>0</v>
      </c>
      <c r="H70" s="51">
        <f t="shared" si="2"/>
        <v>39.331200000000003</v>
      </c>
      <c r="I70" s="51">
        <f t="shared" si="6"/>
        <v>39.335056000000009</v>
      </c>
      <c r="J70" s="51">
        <f t="shared" si="7"/>
        <v>1.1760799999999918</v>
      </c>
      <c r="K70" s="51">
        <f t="shared" si="3"/>
        <v>0</v>
      </c>
      <c r="L70" s="51">
        <f t="shared" si="8"/>
        <v>40.511136</v>
      </c>
      <c r="M70" s="51">
        <f t="shared" si="9"/>
        <v>39.72840656000001</v>
      </c>
      <c r="N70" s="51">
        <f t="shared" si="10"/>
        <v>2.4031748799999946</v>
      </c>
      <c r="O70" s="51">
        <f t="shared" si="4"/>
        <v>0</v>
      </c>
      <c r="P70" s="51">
        <f t="shared" si="11"/>
        <v>42.131581440000005</v>
      </c>
      <c r="Q70" s="51">
        <f t="shared" si="12"/>
        <v>40.125690625600008</v>
      </c>
      <c r="R70" s="51">
        <f t="shared" si="13"/>
        <v>3.3119698390399961</v>
      </c>
      <c r="S70" s="51">
        <f t="shared" si="14"/>
        <v>2.4839773792799971</v>
      </c>
      <c r="T70" s="51">
        <f t="shared" si="15"/>
        <v>1.655984919519998</v>
      </c>
      <c r="U70" s="51">
        <f t="shared" si="16"/>
        <v>0.82799245975999902</v>
      </c>
      <c r="V70" s="51">
        <f t="shared" si="18"/>
        <v>43.437660464640004</v>
      </c>
    </row>
    <row r="71" spans="3:22" s="50" customFormat="1">
      <c r="C71" s="50" t="s">
        <v>3</v>
      </c>
      <c r="D71" s="51">
        <v>5988</v>
      </c>
      <c r="E71" s="51">
        <f t="shared" si="5"/>
        <v>6047.88</v>
      </c>
      <c r="F71" s="51">
        <f t="shared" si="0"/>
        <v>59.880000000000109</v>
      </c>
      <c r="G71" s="51">
        <f t="shared" si="1"/>
        <v>0</v>
      </c>
      <c r="H71" s="51">
        <f t="shared" si="2"/>
        <v>6107.76</v>
      </c>
      <c r="I71" s="51">
        <f t="shared" si="6"/>
        <v>6108.3588</v>
      </c>
      <c r="J71" s="51">
        <f t="shared" si="7"/>
        <v>182.63400000000001</v>
      </c>
      <c r="K71" s="51">
        <f t="shared" si="3"/>
        <v>0</v>
      </c>
      <c r="L71" s="51">
        <f t="shared" si="8"/>
        <v>6290.9928</v>
      </c>
      <c r="M71" s="51">
        <f t="shared" si="9"/>
        <v>6169.4423880000004</v>
      </c>
      <c r="N71" s="51">
        <f t="shared" si="10"/>
        <v>373.19012399999974</v>
      </c>
      <c r="O71" s="51">
        <f t="shared" si="4"/>
        <v>0</v>
      </c>
      <c r="P71" s="51">
        <f t="shared" si="11"/>
        <v>6542.6325120000001</v>
      </c>
      <c r="Q71" s="51">
        <f t="shared" si="12"/>
        <v>6231.1368118800001</v>
      </c>
      <c r="R71" s="51">
        <f t="shared" si="13"/>
        <v>514.31730799199977</v>
      </c>
      <c r="S71" s="51">
        <f t="shared" si="14"/>
        <v>385.73798099399983</v>
      </c>
      <c r="T71" s="51">
        <f t="shared" si="15"/>
        <v>257.15865399599988</v>
      </c>
      <c r="U71" s="51">
        <f t="shared" si="16"/>
        <v>128.57932699799994</v>
      </c>
      <c r="V71" s="51">
        <f t="shared" si="18"/>
        <v>6745.4541198719999</v>
      </c>
    </row>
    <row r="72" spans="3:22" s="50" customFormat="1">
      <c r="C72" s="50" t="s">
        <v>4</v>
      </c>
      <c r="D72" s="51">
        <v>7488</v>
      </c>
      <c r="E72" s="51">
        <f t="shared" si="5"/>
        <v>7562.88</v>
      </c>
      <c r="F72" s="51">
        <f t="shared" si="0"/>
        <v>74.880000000000109</v>
      </c>
      <c r="G72" s="51">
        <f t="shared" si="1"/>
        <v>0</v>
      </c>
      <c r="H72" s="51">
        <f t="shared" si="2"/>
        <v>7637.76</v>
      </c>
      <c r="I72" s="51">
        <f t="shared" si="6"/>
        <v>7638.5088000000005</v>
      </c>
      <c r="J72" s="51">
        <f t="shared" si="7"/>
        <v>228.38400000000001</v>
      </c>
      <c r="K72" s="51">
        <f t="shared" si="3"/>
        <v>0</v>
      </c>
      <c r="L72" s="51">
        <f t="shared" si="8"/>
        <v>7866.8928000000005</v>
      </c>
      <c r="M72" s="51">
        <f t="shared" si="9"/>
        <v>7714.8938880000005</v>
      </c>
      <c r="N72" s="51">
        <f t="shared" si="10"/>
        <v>466.67462400000022</v>
      </c>
      <c r="O72" s="51">
        <f t="shared" si="4"/>
        <v>0</v>
      </c>
      <c r="P72" s="51">
        <f t="shared" si="11"/>
        <v>8181.5685120000007</v>
      </c>
      <c r="Q72" s="51">
        <f t="shared" si="12"/>
        <v>7792.0428268800006</v>
      </c>
      <c r="R72" s="51">
        <f t="shared" si="13"/>
        <v>643.15430899199964</v>
      </c>
      <c r="S72" s="51">
        <f t="shared" si="14"/>
        <v>482.36573174399973</v>
      </c>
      <c r="T72" s="51">
        <f t="shared" si="15"/>
        <v>321.57715449599982</v>
      </c>
      <c r="U72" s="51">
        <f t="shared" si="16"/>
        <v>160.78857724799991</v>
      </c>
      <c r="V72" s="51">
        <f t="shared" si="18"/>
        <v>8435.1971358720002</v>
      </c>
    </row>
    <row r="73" spans="3:22" s="50" customFormat="1">
      <c r="C73" s="50" t="s">
        <v>5</v>
      </c>
      <c r="D73" s="51">
        <v>5988</v>
      </c>
      <c r="E73" s="51">
        <f t="shared" si="5"/>
        <v>6047.88</v>
      </c>
      <c r="F73" s="51">
        <f t="shared" si="0"/>
        <v>59.880000000000109</v>
      </c>
      <c r="G73" s="51">
        <f t="shared" si="1"/>
        <v>0</v>
      </c>
      <c r="H73" s="51">
        <f t="shared" si="2"/>
        <v>6107.76</v>
      </c>
      <c r="I73" s="51">
        <f t="shared" si="6"/>
        <v>6108.3588</v>
      </c>
      <c r="J73" s="51">
        <f t="shared" si="7"/>
        <v>182.63400000000001</v>
      </c>
      <c r="K73" s="51">
        <f t="shared" si="3"/>
        <v>0</v>
      </c>
      <c r="L73" s="51">
        <f t="shared" si="8"/>
        <v>6290.9928</v>
      </c>
      <c r="M73" s="51">
        <f t="shared" si="9"/>
        <v>6169.4423880000004</v>
      </c>
      <c r="N73" s="51">
        <f t="shared" si="10"/>
        <v>373.19012399999974</v>
      </c>
      <c r="O73" s="51">
        <f t="shared" si="4"/>
        <v>0</v>
      </c>
      <c r="P73" s="51">
        <f t="shared" si="11"/>
        <v>6542.6325120000001</v>
      </c>
      <c r="Q73" s="51">
        <f t="shared" si="12"/>
        <v>6231.1368118800001</v>
      </c>
      <c r="R73" s="51">
        <f t="shared" si="13"/>
        <v>514.31730799199977</v>
      </c>
      <c r="S73" s="51">
        <f t="shared" si="14"/>
        <v>385.73798099399983</v>
      </c>
      <c r="T73" s="51">
        <f t="shared" si="15"/>
        <v>257.15865399599988</v>
      </c>
      <c r="U73" s="51">
        <f t="shared" si="16"/>
        <v>128.57932699799994</v>
      </c>
      <c r="V73" s="51">
        <f t="shared" si="18"/>
        <v>6745.4541198719999</v>
      </c>
    </row>
    <row r="74" spans="3:22" s="50" customFormat="1">
      <c r="C74" s="50" t="s">
        <v>25</v>
      </c>
      <c r="D74" s="51">
        <v>77.45</v>
      </c>
      <c r="E74" s="51">
        <f t="shared" si="5"/>
        <v>78.224500000000006</v>
      </c>
      <c r="F74" s="51">
        <f t="shared" si="0"/>
        <v>0.7745000000000033</v>
      </c>
      <c r="G74" s="51">
        <f t="shared" si="1"/>
        <v>0</v>
      </c>
      <c r="H74" s="51">
        <f t="shared" si="2"/>
        <v>78.999000000000009</v>
      </c>
      <c r="I74" s="51">
        <f t="shared" si="6"/>
        <v>79.006745000000009</v>
      </c>
      <c r="J74" s="51">
        <f t="shared" si="7"/>
        <v>2.3622250000000093</v>
      </c>
      <c r="K74" s="51">
        <f t="shared" si="3"/>
        <v>0</v>
      </c>
      <c r="L74" s="51">
        <f t="shared" si="8"/>
        <v>81.368970000000019</v>
      </c>
      <c r="M74" s="51">
        <f t="shared" si="9"/>
        <v>79.796812450000004</v>
      </c>
      <c r="N74" s="51">
        <f t="shared" si="10"/>
        <v>4.826916350000019</v>
      </c>
      <c r="O74" s="51">
        <f t="shared" si="4"/>
        <v>0</v>
      </c>
      <c r="P74" s="51">
        <f t="shared" si="11"/>
        <v>84.623728800000023</v>
      </c>
      <c r="Q74" s="51">
        <f t="shared" si="12"/>
        <v>80.594780574500007</v>
      </c>
      <c r="R74" s="51">
        <f t="shared" si="13"/>
        <v>6.6522838183000061</v>
      </c>
      <c r="S74" s="51">
        <f t="shared" si="14"/>
        <v>4.9892128637250046</v>
      </c>
      <c r="T74" s="51">
        <f t="shared" si="15"/>
        <v>3.3261419091500031</v>
      </c>
      <c r="U74" s="51">
        <f t="shared" si="16"/>
        <v>1.6630709545750015</v>
      </c>
      <c r="V74" s="51">
        <f t="shared" si="18"/>
        <v>87.247064392800013</v>
      </c>
    </row>
    <row r="75" spans="3:22" s="50" customFormat="1">
      <c r="C75" s="50" t="s">
        <v>6</v>
      </c>
      <c r="D75" s="51">
        <v>5988</v>
      </c>
      <c r="E75" s="51">
        <f t="shared" si="5"/>
        <v>6047.88</v>
      </c>
      <c r="F75" s="51">
        <f t="shared" si="0"/>
        <v>59.880000000000109</v>
      </c>
      <c r="G75" s="51">
        <f t="shared" si="1"/>
        <v>0</v>
      </c>
      <c r="H75" s="51">
        <f t="shared" si="2"/>
        <v>6107.76</v>
      </c>
      <c r="I75" s="51">
        <f t="shared" si="6"/>
        <v>6108.3588</v>
      </c>
      <c r="J75" s="51">
        <f t="shared" si="7"/>
        <v>182.63400000000001</v>
      </c>
      <c r="K75" s="51">
        <f t="shared" si="3"/>
        <v>0</v>
      </c>
      <c r="L75" s="51">
        <f t="shared" si="8"/>
        <v>6290.9928</v>
      </c>
      <c r="M75" s="51">
        <f t="shared" si="9"/>
        <v>6169.4423880000004</v>
      </c>
      <c r="N75" s="51">
        <f t="shared" si="10"/>
        <v>373.19012399999974</v>
      </c>
      <c r="O75" s="51">
        <f t="shared" si="4"/>
        <v>0</v>
      </c>
      <c r="P75" s="51">
        <f t="shared" si="11"/>
        <v>6542.6325120000001</v>
      </c>
      <c r="Q75" s="51">
        <f t="shared" si="12"/>
        <v>6231.1368118800001</v>
      </c>
      <c r="R75" s="51">
        <f t="shared" si="13"/>
        <v>514.31730799199977</v>
      </c>
      <c r="S75" s="51">
        <f t="shared" si="14"/>
        <v>385.73798099399983</v>
      </c>
      <c r="T75" s="51">
        <f t="shared" si="15"/>
        <v>257.15865399599988</v>
      </c>
      <c r="U75" s="51">
        <f t="shared" si="16"/>
        <v>128.57932699799994</v>
      </c>
      <c r="V75" s="51">
        <f t="shared" si="18"/>
        <v>6745.4541198719999</v>
      </c>
    </row>
    <row r="76" spans="3:22" s="50" customFormat="1">
      <c r="C76" s="50" t="s">
        <v>26</v>
      </c>
      <c r="D76" s="51">
        <v>44.9</v>
      </c>
      <c r="E76" s="51">
        <f t="shared" si="5"/>
        <v>45.348999999999997</v>
      </c>
      <c r="F76" s="51">
        <f t="shared" si="0"/>
        <v>0.44900000000000517</v>
      </c>
      <c r="G76" s="51">
        <f t="shared" si="1"/>
        <v>0</v>
      </c>
      <c r="H76" s="51">
        <f t="shared" si="2"/>
        <v>45.798000000000002</v>
      </c>
      <c r="I76" s="51">
        <f t="shared" si="6"/>
        <v>45.802489999999999</v>
      </c>
      <c r="J76" s="51">
        <f t="shared" si="7"/>
        <v>1.3694500000000076</v>
      </c>
      <c r="K76" s="51">
        <f t="shared" si="3"/>
        <v>0</v>
      </c>
      <c r="L76" s="51">
        <f t="shared" si="8"/>
        <v>47.171940000000006</v>
      </c>
      <c r="M76" s="51">
        <f t="shared" si="9"/>
        <v>46.260514899999997</v>
      </c>
      <c r="N76" s="51">
        <f t="shared" si="10"/>
        <v>2.7983027000000149</v>
      </c>
      <c r="O76" s="51">
        <f t="shared" si="4"/>
        <v>0</v>
      </c>
      <c r="P76" s="51">
        <f t="shared" si="11"/>
        <v>49.058817600000012</v>
      </c>
      <c r="Q76" s="51">
        <f t="shared" si="12"/>
        <v>46.723120048999995</v>
      </c>
      <c r="R76" s="51">
        <f t="shared" si="13"/>
        <v>3.85652089660001</v>
      </c>
      <c r="S76" s="51">
        <f t="shared" si="14"/>
        <v>2.8923906724500075</v>
      </c>
      <c r="T76" s="51">
        <f t="shared" si="15"/>
        <v>1.928260448300005</v>
      </c>
      <c r="U76" s="51">
        <f t="shared" si="16"/>
        <v>0.96413022415000249</v>
      </c>
      <c r="V76" s="51">
        <f t="shared" si="18"/>
        <v>50.579640945600005</v>
      </c>
    </row>
    <row r="77" spans="3:22" s="50" customFormat="1">
      <c r="C77" s="50" t="s">
        <v>27</v>
      </c>
      <c r="D77" s="51">
        <v>22.5</v>
      </c>
      <c r="E77" s="51">
        <f t="shared" si="5"/>
        <v>22.725000000000001</v>
      </c>
      <c r="F77" s="51">
        <f t="shared" si="0"/>
        <v>0.22499999999999787</v>
      </c>
      <c r="G77" s="51">
        <f t="shared" si="1"/>
        <v>0</v>
      </c>
      <c r="H77" s="51">
        <f t="shared" si="2"/>
        <v>22.95</v>
      </c>
      <c r="I77" s="51">
        <f t="shared" si="6"/>
        <v>22.952250000000003</v>
      </c>
      <c r="J77" s="51">
        <f t="shared" si="7"/>
        <v>0.68624999999999758</v>
      </c>
      <c r="K77" s="51">
        <f t="shared" si="3"/>
        <v>0</v>
      </c>
      <c r="L77" s="51">
        <f t="shared" si="8"/>
        <v>23.638500000000001</v>
      </c>
      <c r="M77" s="51">
        <f t="shared" si="9"/>
        <v>23.181772500000005</v>
      </c>
      <c r="N77" s="51">
        <f t="shared" si="10"/>
        <v>1.4022674999999971</v>
      </c>
      <c r="O77" s="51">
        <f t="shared" si="4"/>
        <v>0</v>
      </c>
      <c r="P77" s="51">
        <f t="shared" si="11"/>
        <v>24.584040000000002</v>
      </c>
      <c r="Q77" s="51">
        <f t="shared" si="12"/>
        <v>23.413590225000004</v>
      </c>
      <c r="R77" s="51">
        <f t="shared" si="13"/>
        <v>1.9325550149999948</v>
      </c>
      <c r="S77" s="51">
        <f t="shared" si="14"/>
        <v>1.4494162612499961</v>
      </c>
      <c r="T77" s="51">
        <f t="shared" si="15"/>
        <v>0.96627750749999741</v>
      </c>
      <c r="U77" s="51">
        <f t="shared" si="16"/>
        <v>0.48313875374999871</v>
      </c>
      <c r="V77" s="51">
        <f t="shared" si="18"/>
        <v>25.346145239999998</v>
      </c>
    </row>
    <row r="78" spans="3:22" s="50" customFormat="1">
      <c r="C78" s="50" t="s">
        <v>28</v>
      </c>
      <c r="D78" s="51"/>
      <c r="H78" s="51">
        <v>45.530799999999999</v>
      </c>
      <c r="I78" s="51">
        <f t="shared" si="6"/>
        <v>0</v>
      </c>
      <c r="J78" s="51">
        <f t="shared" si="7"/>
        <v>46.896723999999999</v>
      </c>
      <c r="K78" s="51">
        <f t="shared" si="3"/>
        <v>0</v>
      </c>
      <c r="L78" s="51">
        <f t="shared" si="8"/>
        <v>46.896723999999999</v>
      </c>
      <c r="M78" s="51">
        <f t="shared" si="9"/>
        <v>0</v>
      </c>
      <c r="N78" s="51">
        <f t="shared" si="10"/>
        <v>48.772592959999997</v>
      </c>
      <c r="O78" s="51">
        <f t="shared" si="4"/>
        <v>0</v>
      </c>
      <c r="P78" s="51">
        <f t="shared" si="11"/>
        <v>48.772592959999997</v>
      </c>
      <c r="Q78" s="51">
        <f t="shared" si="12"/>
        <v>0</v>
      </c>
      <c r="R78" s="51">
        <f t="shared" si="13"/>
        <v>50.284543341759992</v>
      </c>
      <c r="S78" s="51">
        <f t="shared" si="14"/>
        <v>37.713407506319996</v>
      </c>
      <c r="T78" s="51">
        <f t="shared" si="15"/>
        <v>25.142271670879996</v>
      </c>
      <c r="U78" s="51">
        <f t="shared" si="16"/>
        <v>12.571135835439998</v>
      </c>
      <c r="V78" s="51">
        <f t="shared" si="18"/>
        <v>50.284543341759992</v>
      </c>
    </row>
    <row r="79" spans="3:22" s="50" customFormat="1"/>
    <row r="80" spans="3:22" s="50" customFormat="1">
      <c r="E80" s="50" t="s">
        <v>104</v>
      </c>
      <c r="F80" s="50" t="s">
        <v>105</v>
      </c>
    </row>
    <row r="81" spans="4:15" s="50" customFormat="1">
      <c r="D81" s="50" t="s">
        <v>101</v>
      </c>
      <c r="E81" s="51">
        <v>17911</v>
      </c>
      <c r="F81" s="51">
        <f t="shared" ref="F81" si="19">E81*0.01</f>
        <v>179.11</v>
      </c>
    </row>
    <row r="82" spans="4:15" s="50" customFormat="1">
      <c r="D82" s="50" t="s">
        <v>102</v>
      </c>
      <c r="E82" s="51">
        <f>E81*1.02</f>
        <v>18269.22</v>
      </c>
      <c r="F82" s="51">
        <f>E82*0.02</f>
        <v>365.38440000000003</v>
      </c>
      <c r="G82" s="51"/>
      <c r="J82" s="51"/>
      <c r="K82" s="51"/>
      <c r="O82" s="51"/>
    </row>
    <row r="83" spans="4:15" s="50" customFormat="1">
      <c r="D83" s="50" t="s">
        <v>64</v>
      </c>
      <c r="E83" s="51">
        <f>E82*1.03</f>
        <v>18817.296600000001</v>
      </c>
      <c r="F83" s="51">
        <f>E83*0.03</f>
        <v>564.51889800000004</v>
      </c>
      <c r="G83" s="51"/>
      <c r="J83" s="51"/>
      <c r="K83" s="51"/>
      <c r="O83" s="51"/>
    </row>
    <row r="84" spans="4:15" s="50" customFormat="1">
      <c r="D84" s="50" t="s">
        <v>65</v>
      </c>
      <c r="E84" s="51">
        <f>E83*1.04</f>
        <v>19569.988464000002</v>
      </c>
      <c r="G84" s="51"/>
      <c r="J84" s="51"/>
      <c r="K84" s="51"/>
      <c r="O84" s="51"/>
    </row>
    <row r="85" spans="4:15" s="50" customFormat="1">
      <c r="D85" s="50" t="s">
        <v>103</v>
      </c>
      <c r="E85" s="51">
        <f>E84*1.031</f>
        <v>20176.658106383999</v>
      </c>
      <c r="G85" s="51"/>
      <c r="J85" s="51"/>
      <c r="K85" s="51"/>
      <c r="O85" s="51"/>
    </row>
    <row r="86" spans="4:15" s="50" customFormat="1"/>
    <row r="87" spans="4:15" s="50" customFormat="1"/>
    <row r="88" spans="4:15" s="50" customFormat="1">
      <c r="E88" s="51">
        <v>18090</v>
      </c>
      <c r="F88" s="51">
        <f>E88*1.0201</f>
        <v>18453.609</v>
      </c>
    </row>
    <row r="89" spans="4:15" s="50" customFormat="1"/>
    <row r="90" spans="4:15" s="97" customFormat="1"/>
    <row r="91" spans="4:15" s="97" customFormat="1"/>
    <row r="92" spans="4:15" s="97" customFormat="1"/>
  </sheetData>
  <sheetProtection algorithmName="SHA-512" hashValue="qNu5lV9wLHZMGKXeCwmURbhxSxVTrpa6WQr+PZofeoX1hFip0UBrlDE3XF6yaI4HHIHCgc26CRQkK9whTaRfaQ==" saltValue="M7fuZmS+KDRltGz/GpSlng==" spinCount="100000" sheet="1" objects="1" scenarios="1"/>
  <mergeCells count="9">
    <mergeCell ref="B55:G57"/>
    <mergeCell ref="A2:G2"/>
    <mergeCell ref="D11:F11"/>
    <mergeCell ref="A1:G1"/>
    <mergeCell ref="C5:F5"/>
    <mergeCell ref="C6:F6"/>
    <mergeCell ref="D9:F9"/>
    <mergeCell ref="D10:F10"/>
    <mergeCell ref="B44:G45"/>
  </mergeCells>
  <conditionalFormatting sqref="B13:F31">
    <cfRule type="expression" dxfId="0" priority="1">
      <formula>MOD(ROW(),2)=0</formula>
    </cfRule>
  </conditionalFormatting>
  <hyperlinks>
    <hyperlink ref="C5" r:id="rId1" xr:uid="{74E78C24-B985-B74A-A6C7-42F7C34DCE98}"/>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paycheques</vt:lpstr>
      <vt:lpstr>retro pay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Braganza</dc:creator>
  <cp:lastModifiedBy>Neil Braganza</cp:lastModifiedBy>
  <dcterms:created xsi:type="dcterms:W3CDTF">2024-06-17T17:53:57Z</dcterms:created>
  <dcterms:modified xsi:type="dcterms:W3CDTF">2024-07-19T16:08:00Z</dcterms:modified>
</cp:coreProperties>
</file>